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ceja\Desktop\"/>
    </mc:Choice>
  </mc:AlternateContent>
  <xr:revisionPtr revIDLastSave="0" documentId="8_{2008CC0E-F4A1-4672-9EAE-11FF20BA5FE2}" xr6:coauthVersionLast="47" xr6:coauthVersionMax="47" xr10:uidLastSave="{00000000-0000-0000-0000-000000000000}"/>
  <bookViews>
    <workbookView xWindow="-120" yWindow="-120" windowWidth="29040" windowHeight="15720" activeTab="2" xr2:uid="{258F456C-D813-40F0-B826-0F0917D8B08D}"/>
  </bookViews>
  <sheets>
    <sheet name="Budget" sheetId="50" r:id="rId1"/>
    <sheet name="NONREVENUE DEPTS" sheetId="48" r:id="rId2"/>
    <sheet name="REVENUE DEPTS" sheetId="49" r:id="rId3"/>
    <sheet name="FTES" sheetId="41" r:id="rId4"/>
    <sheet name="CAPEX" sheetId="39" r:id="rId5"/>
    <sheet name="CLINIC" sheetId="36" r:id="rId6"/>
    <sheet name="ER" sheetId="35" r:id="rId7"/>
    <sheet name="PT" sheetId="34" r:id="rId8"/>
    <sheet name="PHARMACY" sheetId="33" r:id="rId9"/>
    <sheet name="RT" sheetId="32" r:id="rId10"/>
    <sheet name="RAD" sheetId="31" r:id="rId11"/>
    <sheet name="LAB" sheetId="30" r:id="rId12"/>
    <sheet name="CENTRAL" sheetId="29" r:id="rId13"/>
    <sheet name="LTC" sheetId="27" r:id="rId14"/>
    <sheet name="ACUTESWINGOBS" sheetId="24" r:id="rId15"/>
    <sheet name="KINGSTON" sheetId="25" r:id="rId16"/>
    <sheet name="NURSE AD" sheetId="20" r:id="rId17"/>
    <sheet name="INFECTION" sheetId="21" r:id="rId18"/>
    <sheet name="BOARD" sheetId="19" r:id="rId19"/>
    <sheet name="QA" sheetId="18" r:id="rId20"/>
    <sheet name="FINANCE" sheetId="6" r:id="rId21"/>
    <sheet name="ADMIN" sheetId="17" r:id="rId22"/>
    <sheet name="HR" sheetId="16" r:id="rId23"/>
    <sheet name="BO" sheetId="14" r:id="rId24"/>
    <sheet name="IT" sheetId="15" r:id="rId25"/>
    <sheet name="JPSHC" sheetId="13" r:id="rId26"/>
    <sheet name="MAINT" sheetId="12" r:id="rId27"/>
    <sheet name="ACTIVITIES" sheetId="11" r:id="rId28"/>
    <sheet name="SOCIAL SERVICE" sheetId="10" r:id="rId29"/>
    <sheet name="LAUNDRY" sheetId="9" r:id="rId30"/>
    <sheet name="HSK" sheetId="8" r:id="rId31"/>
    <sheet name="DIETARY" sheetId="2" r:id="rId32"/>
    <sheet name="RAW" sheetId="38" r:id="rId33"/>
  </sheets>
  <externalReferences>
    <externalReference r:id="rId34"/>
  </externalReferences>
  <definedNames>
    <definedName name="_xlnm._FilterDatabase" localSheetId="27" hidden="1">ACTIVITIES!$B$5:$F$19</definedName>
    <definedName name="_xlnm._FilterDatabase" localSheetId="14" hidden="1">ACUTESWINGOBS!$B$5:$F$25</definedName>
    <definedName name="_xlnm._FilterDatabase" localSheetId="21" hidden="1">ADMIN!$B$5:$F$30</definedName>
    <definedName name="_xlnm._FilterDatabase" localSheetId="23" hidden="1">BO!$B$5:$F$24</definedName>
    <definedName name="_xlnm._FilterDatabase" localSheetId="18" hidden="1">BOARD!$B$5:$F$16</definedName>
    <definedName name="_xlnm._FilterDatabase" localSheetId="12" hidden="1">CENTRAL!$B$5:$F$24</definedName>
    <definedName name="_xlnm._FilterDatabase" localSheetId="5" hidden="1">CLINIC!$B$5:$F$29</definedName>
    <definedName name="_xlnm._FilterDatabase" localSheetId="31" hidden="1">DIETARY!$B$5:$F$26</definedName>
    <definedName name="_xlnm._FilterDatabase" localSheetId="6" hidden="1">ER!$B$5:$F$30</definedName>
    <definedName name="_xlnm._FilterDatabase" localSheetId="20" hidden="1">FINANCE!$B$5:$F$23</definedName>
    <definedName name="_xlnm._FilterDatabase" localSheetId="22" hidden="1">HR!$B$5:$F$23</definedName>
    <definedName name="_xlnm._FilterDatabase" localSheetId="30" hidden="1">HSK!$B$5:$F$20</definedName>
    <definedName name="_xlnm._FilterDatabase" localSheetId="17" hidden="1">INFECTION!$B$5:$F$20</definedName>
    <definedName name="_xlnm._FilterDatabase" localSheetId="24" hidden="1">IT!$B$5:$F$22</definedName>
    <definedName name="_xlnm._FilterDatabase" localSheetId="11" hidden="1">LAB!$B$5:$F$25</definedName>
    <definedName name="_xlnm._FilterDatabase" localSheetId="29" hidden="1">LAUNDRY!$B$5:$F$17</definedName>
    <definedName name="_xlnm._FilterDatabase" localSheetId="13" hidden="1">LTC!$B$5:$F$27</definedName>
    <definedName name="_xlnm._FilterDatabase" localSheetId="26" hidden="1">MAINT!$B$5:$F$25</definedName>
    <definedName name="_xlnm._FilterDatabase" localSheetId="16" hidden="1">'NURSE AD'!$B$5:$F$15</definedName>
    <definedName name="_xlnm._FilterDatabase" localSheetId="8" hidden="1">PHARMACY!$B$5:$F$25</definedName>
    <definedName name="_xlnm._FilterDatabase" localSheetId="7" hidden="1">PT!$B$5:$F$24</definedName>
    <definedName name="_xlnm._FilterDatabase" localSheetId="19" hidden="1">QA!$B$5:$F$17</definedName>
    <definedName name="_xlnm._FilterDatabase" localSheetId="10" hidden="1">RAD!$B$5:$F$25</definedName>
    <definedName name="_xlnm._FilterDatabase" localSheetId="32" hidden="1">RAW!$B$5:$F$37</definedName>
    <definedName name="_xlnm._FilterDatabase" localSheetId="2" hidden="1">'REVENUE DEPTS'!$B$20:$B$40</definedName>
    <definedName name="_xlnm._FilterDatabase" localSheetId="9" hidden="1">RT!$B$5:$F$26</definedName>
    <definedName name="_xlnm._FilterDatabase" localSheetId="28" hidden="1">'SOCIAL SERVICE'!$B$5:$F$17</definedName>
    <definedName name="_xlnm.Print_Titles" localSheetId="0">Budget!$1:$5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0" l="1"/>
  <c r="F13" i="50" s="1"/>
  <c r="F21" i="50" s="1"/>
  <c r="Q6" i="50"/>
  <c r="Q7" i="50"/>
  <c r="F8" i="50"/>
  <c r="Q8" i="50"/>
  <c r="Q9" i="50"/>
  <c r="Q10" i="50"/>
  <c r="Q11" i="50"/>
  <c r="Q12" i="50"/>
  <c r="F26" i="50"/>
  <c r="Q26" i="50"/>
  <c r="F27" i="50"/>
  <c r="F28" i="50"/>
  <c r="G28" i="50"/>
  <c r="F29" i="50"/>
  <c r="F31" i="50"/>
  <c r="P31" i="50"/>
  <c r="Q31" i="50"/>
  <c r="F32" i="50"/>
  <c r="F33" i="50"/>
  <c r="F34" i="50"/>
  <c r="G34" i="50"/>
  <c r="H34" i="50"/>
  <c r="I34" i="50"/>
  <c r="J34" i="50"/>
  <c r="F35" i="50"/>
  <c r="Q35" i="50"/>
  <c r="F36" i="50"/>
  <c r="F37" i="50"/>
  <c r="F38" i="50"/>
  <c r="F39" i="50"/>
  <c r="Q42" i="50"/>
  <c r="F44" i="50"/>
  <c r="F45" i="50"/>
  <c r="J45" i="50"/>
  <c r="J52" i="50"/>
  <c r="F57" i="50"/>
  <c r="G59" i="50"/>
  <c r="I59" i="50"/>
  <c r="J62" i="50"/>
  <c r="F66" i="50"/>
  <c r="G66" i="50"/>
  <c r="H66" i="50"/>
  <c r="I66" i="50"/>
  <c r="J66" i="50"/>
  <c r="B75" i="50"/>
  <c r="B73" i="50"/>
  <c r="E66" i="50"/>
  <c r="C56" i="50"/>
  <c r="E55" i="50"/>
  <c r="C55" i="50"/>
  <c r="E54" i="50"/>
  <c r="E53" i="50"/>
  <c r="C53" i="50"/>
  <c r="D53" i="50" s="1"/>
  <c r="E52" i="50"/>
  <c r="C52" i="50"/>
  <c r="E51" i="50"/>
  <c r="C51" i="50"/>
  <c r="D51" i="50" s="1"/>
  <c r="C50" i="50"/>
  <c r="D50" i="50" s="1"/>
  <c r="E49" i="50"/>
  <c r="C49" i="50"/>
  <c r="D49" i="50" s="1"/>
  <c r="E44" i="50"/>
  <c r="C44" i="50"/>
  <c r="D44" i="50" s="1"/>
  <c r="E43" i="50"/>
  <c r="C43" i="50"/>
  <c r="D43" i="50" s="1"/>
  <c r="D42" i="50"/>
  <c r="E41" i="50"/>
  <c r="C41" i="50"/>
  <c r="D41" i="50" s="1"/>
  <c r="E39" i="50"/>
  <c r="C39" i="50"/>
  <c r="D39" i="50" s="1"/>
  <c r="E38" i="50"/>
  <c r="C38" i="50"/>
  <c r="D38" i="50" s="1"/>
  <c r="E37" i="50"/>
  <c r="C37" i="50"/>
  <c r="D37" i="50" s="1"/>
  <c r="E36" i="50"/>
  <c r="C36" i="50"/>
  <c r="D36" i="50" s="1"/>
  <c r="C31" i="50"/>
  <c r="R35" i="50" s="1"/>
  <c r="E35" i="50"/>
  <c r="C35" i="50"/>
  <c r="D35" i="50" s="1"/>
  <c r="E34" i="50"/>
  <c r="C34" i="50"/>
  <c r="D34" i="50" s="1"/>
  <c r="E33" i="50"/>
  <c r="C33" i="50"/>
  <c r="D33" i="50" s="1"/>
  <c r="E32" i="50"/>
  <c r="C32" i="50"/>
  <c r="D32" i="50" s="1"/>
  <c r="E31" i="50"/>
  <c r="G31" i="50" s="1"/>
  <c r="E30" i="50"/>
  <c r="C30" i="50"/>
  <c r="D30" i="50" s="1"/>
  <c r="E29" i="50"/>
  <c r="C29" i="50"/>
  <c r="D28" i="50"/>
  <c r="E27" i="50"/>
  <c r="C27" i="50"/>
  <c r="D27" i="50" s="1"/>
  <c r="E26" i="50"/>
  <c r="G26" i="50" s="1"/>
  <c r="C26" i="50"/>
  <c r="C73" i="50" s="1"/>
  <c r="E23" i="50"/>
  <c r="C23" i="50"/>
  <c r="B19" i="50"/>
  <c r="B21" i="50" s="1"/>
  <c r="D17" i="50"/>
  <c r="C17" i="50"/>
  <c r="C19" i="50" s="1"/>
  <c r="B17" i="50"/>
  <c r="B16" i="50"/>
  <c r="D15" i="50"/>
  <c r="C13" i="50"/>
  <c r="C16" i="50" s="1"/>
  <c r="E12" i="50"/>
  <c r="D12" i="50"/>
  <c r="E11" i="50"/>
  <c r="D11" i="50"/>
  <c r="E10" i="50"/>
  <c r="D10" i="50"/>
  <c r="E9" i="50"/>
  <c r="D9" i="50"/>
  <c r="E8" i="50"/>
  <c r="L8" i="50" s="1"/>
  <c r="D8" i="50"/>
  <c r="E7" i="50"/>
  <c r="D7" i="50"/>
  <c r="E6" i="50"/>
  <c r="D6" i="50"/>
  <c r="O56" i="49"/>
  <c r="G56" i="49"/>
  <c r="O52" i="49"/>
  <c r="O57" i="49" s="1"/>
  <c r="L6" i="49" s="1"/>
  <c r="K45" i="49"/>
  <c r="I45" i="49"/>
  <c r="S44" i="49"/>
  <c r="S43" i="49"/>
  <c r="S42" i="49" s="1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E45" i="49" s="1"/>
  <c r="D42" i="49"/>
  <c r="C42" i="49"/>
  <c r="C45" i="49" s="1"/>
  <c r="S41" i="49"/>
  <c r="S40" i="49"/>
  <c r="S39" i="49"/>
  <c r="S38" i="49"/>
  <c r="S37" i="49"/>
  <c r="S36" i="49"/>
  <c r="S35" i="49"/>
  <c r="S34" i="49"/>
  <c r="S33" i="49"/>
  <c r="S32" i="49"/>
  <c r="S31" i="49"/>
  <c r="S30" i="49"/>
  <c r="S18" i="49" s="1"/>
  <c r="S29" i="49"/>
  <c r="S28" i="49"/>
  <c r="S27" i="49"/>
  <c r="S26" i="49"/>
  <c r="S25" i="49"/>
  <c r="S24" i="49"/>
  <c r="S23" i="49"/>
  <c r="S22" i="49"/>
  <c r="S21" i="49"/>
  <c r="S20" i="49"/>
  <c r="S19" i="49"/>
  <c r="Q18" i="49"/>
  <c r="P18" i="49"/>
  <c r="P45" i="49" s="1"/>
  <c r="O18" i="49"/>
  <c r="N18" i="49"/>
  <c r="M18" i="49"/>
  <c r="M45" i="49" s="1"/>
  <c r="L18" i="49"/>
  <c r="K18" i="49"/>
  <c r="J18" i="49"/>
  <c r="I18" i="49"/>
  <c r="H18" i="49"/>
  <c r="G18" i="49"/>
  <c r="G45" i="49" s="1"/>
  <c r="F18" i="49"/>
  <c r="E18" i="49"/>
  <c r="D18" i="49"/>
  <c r="D45" i="49" s="1"/>
  <c r="C18" i="49"/>
  <c r="S17" i="49"/>
  <c r="S16" i="49"/>
  <c r="S15" i="49" s="1"/>
  <c r="Q15" i="49"/>
  <c r="Q45" i="49" s="1"/>
  <c r="O15" i="49"/>
  <c r="O45" i="49" s="1"/>
  <c r="N15" i="49"/>
  <c r="N45" i="49" s="1"/>
  <c r="L15" i="49"/>
  <c r="L45" i="49" s="1"/>
  <c r="J15" i="49"/>
  <c r="J45" i="49" s="1"/>
  <c r="I15" i="49"/>
  <c r="H15" i="49"/>
  <c r="H45" i="49" s="1"/>
  <c r="F15" i="49"/>
  <c r="F45" i="49" s="1"/>
  <c r="E15" i="49"/>
  <c r="C15" i="49"/>
  <c r="O13" i="49"/>
  <c r="M13" i="49"/>
  <c r="M46" i="49" s="1"/>
  <c r="L13" i="49"/>
  <c r="K13" i="49"/>
  <c r="K46" i="49" s="1"/>
  <c r="C13" i="49"/>
  <c r="R12" i="49"/>
  <c r="Q12" i="49"/>
  <c r="Q13" i="49" s="1"/>
  <c r="Q46" i="49" s="1"/>
  <c r="P12" i="49"/>
  <c r="P13" i="49" s="1"/>
  <c r="O12" i="49"/>
  <c r="N12" i="49"/>
  <c r="N13" i="49" s="1"/>
  <c r="N46" i="49" s="1"/>
  <c r="M12" i="49"/>
  <c r="L12" i="49"/>
  <c r="K12" i="49"/>
  <c r="J12" i="49"/>
  <c r="I12" i="49"/>
  <c r="H12" i="49"/>
  <c r="G12" i="49"/>
  <c r="G13" i="49" s="1"/>
  <c r="F12" i="49"/>
  <c r="E12" i="49"/>
  <c r="E13" i="49" s="1"/>
  <c r="D12" i="49"/>
  <c r="S12" i="49" s="1"/>
  <c r="C12" i="49"/>
  <c r="Q11" i="49"/>
  <c r="P11" i="49"/>
  <c r="O11" i="49"/>
  <c r="N11" i="49"/>
  <c r="M11" i="49"/>
  <c r="L11" i="49"/>
  <c r="K11" i="49"/>
  <c r="J11" i="49"/>
  <c r="J13" i="49" s="1"/>
  <c r="I11" i="49"/>
  <c r="I13" i="49" s="1"/>
  <c r="I46" i="49" s="1"/>
  <c r="H11" i="49"/>
  <c r="H13" i="49" s="1"/>
  <c r="G11" i="49"/>
  <c r="F11" i="49"/>
  <c r="S11" i="49" s="1"/>
  <c r="E11" i="49"/>
  <c r="D11" i="49"/>
  <c r="C11" i="49"/>
  <c r="S10" i="49"/>
  <c r="L2" i="49"/>
  <c r="O48" i="48"/>
  <c r="M48" i="48"/>
  <c r="L48" i="48"/>
  <c r="K48" i="48"/>
  <c r="V47" i="48"/>
  <c r="V46" i="48"/>
  <c r="V45" i="48"/>
  <c r="V44" i="48"/>
  <c r="V43" i="48"/>
  <c r="V42" i="48"/>
  <c r="V41" i="48" s="1"/>
  <c r="T41" i="48"/>
  <c r="S41" i="48"/>
  <c r="R41" i="48"/>
  <c r="Q41" i="48"/>
  <c r="P41" i="48"/>
  <c r="O41" i="48"/>
  <c r="N41" i="48"/>
  <c r="M41" i="48"/>
  <c r="L41" i="48"/>
  <c r="K41" i="48"/>
  <c r="J41" i="48"/>
  <c r="I41" i="48"/>
  <c r="H41" i="48"/>
  <c r="G41" i="48"/>
  <c r="F41" i="48"/>
  <c r="E41" i="48"/>
  <c r="D41" i="48"/>
  <c r="C41" i="48"/>
  <c r="V40" i="48"/>
  <c r="V39" i="48"/>
  <c r="V38" i="48"/>
  <c r="S38" i="48"/>
  <c r="R38" i="48"/>
  <c r="Q38" i="48"/>
  <c r="P38" i="48"/>
  <c r="O38" i="48"/>
  <c r="N38" i="48"/>
  <c r="M38" i="48"/>
  <c r="L38" i="48"/>
  <c r="K38" i="48"/>
  <c r="J38" i="48"/>
  <c r="I38" i="48"/>
  <c r="H38" i="48"/>
  <c r="G38" i="48"/>
  <c r="F38" i="48"/>
  <c r="E38" i="48"/>
  <c r="D38" i="48"/>
  <c r="C38" i="48"/>
  <c r="V37" i="48"/>
  <c r="V36" i="48"/>
  <c r="V35" i="48"/>
  <c r="V34" i="48"/>
  <c r="J33" i="48"/>
  <c r="V33" i="48" s="1"/>
  <c r="V32" i="48"/>
  <c r="V31" i="48"/>
  <c r="V30" i="48"/>
  <c r="V29" i="48"/>
  <c r="V28" i="48"/>
  <c r="V27" i="48"/>
  <c r="V26" i="48"/>
  <c r="V25" i="48"/>
  <c r="V24" i="48"/>
  <c r="V23" i="48"/>
  <c r="V22" i="48"/>
  <c r="V21" i="48"/>
  <c r="V20" i="48"/>
  <c r="V9" i="48" s="1"/>
  <c r="V19" i="48"/>
  <c r="V18" i="48"/>
  <c r="V17" i="48"/>
  <c r="V16" i="48"/>
  <c r="V15" i="48"/>
  <c r="V14" i="48"/>
  <c r="V13" i="48"/>
  <c r="V12" i="48"/>
  <c r="V11" i="48"/>
  <c r="V10" i="48"/>
  <c r="T9" i="48"/>
  <c r="T48" i="48" s="1"/>
  <c r="S9" i="48"/>
  <c r="R9" i="48"/>
  <c r="Q9" i="48"/>
  <c r="P9" i="48"/>
  <c r="O9" i="48"/>
  <c r="N9" i="48"/>
  <c r="M9" i="48"/>
  <c r="L9" i="48"/>
  <c r="K9" i="48"/>
  <c r="I9" i="48"/>
  <c r="I48" i="48" s="1"/>
  <c r="H9" i="48"/>
  <c r="G9" i="48"/>
  <c r="F9" i="48"/>
  <c r="E9" i="48"/>
  <c r="D9" i="48"/>
  <c r="C9" i="48"/>
  <c r="V8" i="48"/>
  <c r="V7" i="48"/>
  <c r="V6" i="48"/>
  <c r="S6" i="48"/>
  <c r="S48" i="48" s="1"/>
  <c r="R6" i="48"/>
  <c r="R48" i="48" s="1"/>
  <c r="Q6" i="48"/>
  <c r="Q48" i="48" s="1"/>
  <c r="P6" i="48"/>
  <c r="P48" i="48" s="1"/>
  <c r="O6" i="48"/>
  <c r="N6" i="48"/>
  <c r="N48" i="48" s="1"/>
  <c r="M6" i="48"/>
  <c r="L6" i="48"/>
  <c r="K6" i="48"/>
  <c r="J6" i="48"/>
  <c r="H6" i="48"/>
  <c r="H48" i="48" s="1"/>
  <c r="G6" i="48"/>
  <c r="G48" i="48" s="1"/>
  <c r="F6" i="48"/>
  <c r="F48" i="48" s="1"/>
  <c r="E6" i="48"/>
  <c r="E48" i="48" s="1"/>
  <c r="D6" i="48"/>
  <c r="D48" i="48" s="1"/>
  <c r="C6" i="48"/>
  <c r="C48" i="48" s="1"/>
  <c r="L11" i="50" l="1"/>
  <c r="R23" i="50"/>
  <c r="L12" i="50"/>
  <c r="M27" i="50"/>
  <c r="L7" i="50"/>
  <c r="R31" i="50"/>
  <c r="L9" i="50"/>
  <c r="M39" i="50"/>
  <c r="L10" i="50"/>
  <c r="F59" i="50"/>
  <c r="F63" i="50" s="1"/>
  <c r="R22" i="50"/>
  <c r="R42" i="50"/>
  <c r="E13" i="50"/>
  <c r="L13" i="50" s="1"/>
  <c r="H27" i="50"/>
  <c r="Q13" i="50"/>
  <c r="R26" i="50"/>
  <c r="L6" i="50"/>
  <c r="C21" i="50"/>
  <c r="C71" i="50" s="1"/>
  <c r="C24" i="50"/>
  <c r="C57" i="50"/>
  <c r="D19" i="50"/>
  <c r="D13" i="50"/>
  <c r="D16" i="50" s="1"/>
  <c r="D57" i="50"/>
  <c r="E57" i="50"/>
  <c r="B71" i="50"/>
  <c r="B67" i="50"/>
  <c r="D31" i="50"/>
  <c r="E45" i="50"/>
  <c r="H45" i="50" s="1"/>
  <c r="E73" i="50"/>
  <c r="D23" i="50"/>
  <c r="D29" i="50"/>
  <c r="D26" i="50"/>
  <c r="M26" i="50" s="1"/>
  <c r="N26" i="50" s="1"/>
  <c r="C45" i="50"/>
  <c r="C75" i="50" s="1"/>
  <c r="P46" i="49"/>
  <c r="H46" i="49"/>
  <c r="G46" i="49"/>
  <c r="C46" i="49"/>
  <c r="J46" i="49"/>
  <c r="L46" i="49"/>
  <c r="E46" i="49"/>
  <c r="V48" i="48"/>
  <c r="V55" i="48" s="1"/>
  <c r="S45" i="49"/>
  <c r="O46" i="49"/>
  <c r="J9" i="48"/>
  <c r="J48" i="48" s="1"/>
  <c r="D13" i="49"/>
  <c r="D46" i="49" s="1"/>
  <c r="F13" i="49"/>
  <c r="F46" i="49" s="1"/>
  <c r="S13" i="49"/>
  <c r="L1" i="49" s="1"/>
  <c r="D21" i="50" l="1"/>
  <c r="D67" i="50" s="1"/>
  <c r="E17" i="50"/>
  <c r="E15" i="50"/>
  <c r="E19" i="50" s="1"/>
  <c r="E21" i="50" s="1"/>
  <c r="H21" i="50" s="1"/>
  <c r="C67" i="50"/>
  <c r="D45" i="50"/>
  <c r="D75" i="50" s="1"/>
  <c r="D73" i="50"/>
  <c r="C59" i="50"/>
  <c r="R59" i="50" s="1"/>
  <c r="E75" i="50"/>
  <c r="C47" i="50"/>
  <c r="C77" i="50" s="1"/>
  <c r="C79" i="50" s="1"/>
  <c r="L3" i="49"/>
  <c r="L4" i="49" s="1"/>
  <c r="L7" i="49" s="1"/>
  <c r="S46" i="49"/>
  <c r="D71" i="50" l="1"/>
  <c r="H59" i="50"/>
  <c r="J21" i="50"/>
  <c r="D24" i="50"/>
  <c r="D47" i="50"/>
  <c r="D77" i="50" s="1"/>
  <c r="D79" i="50" s="1"/>
  <c r="D59" i="50"/>
  <c r="D61" i="50" s="1"/>
  <c r="E71" i="50"/>
  <c r="E59" i="50"/>
  <c r="E62" i="50" s="1"/>
  <c r="E47" i="50"/>
  <c r="E77" i="50" s="1"/>
  <c r="E79" i="50" s="1"/>
  <c r="E24" i="50"/>
  <c r="E69" i="50" s="1"/>
  <c r="E67" i="50"/>
  <c r="F22" i="11"/>
  <c r="E9" i="11"/>
  <c r="D9" i="11"/>
  <c r="C9" i="11"/>
  <c r="F9" i="11"/>
  <c r="F20" i="14"/>
  <c r="F9" i="17"/>
  <c r="F9" i="16"/>
  <c r="J59" i="50" l="1"/>
  <c r="J60" i="50"/>
  <c r="D35" i="41"/>
  <c r="C35" i="41"/>
  <c r="C25" i="39"/>
  <c r="F23" i="39"/>
  <c r="F22" i="39"/>
  <c r="F20" i="39"/>
  <c r="F18" i="39"/>
  <c r="F15" i="39"/>
  <c r="F13" i="39"/>
  <c r="F12" i="39"/>
  <c r="F10" i="39"/>
  <c r="F9" i="39"/>
  <c r="F25" i="39" s="1"/>
  <c r="E10" i="32"/>
  <c r="E22" i="32"/>
  <c r="E21" i="32"/>
  <c r="F10" i="36"/>
  <c r="D10" i="36"/>
  <c r="F7" i="36"/>
  <c r="D38" i="38"/>
  <c r="C38" i="38"/>
  <c r="E36" i="38"/>
  <c r="E35" i="38"/>
  <c r="E34" i="38" s="1"/>
  <c r="F34" i="38"/>
  <c r="F37" i="38" s="1"/>
  <c r="F38" i="38" s="1"/>
  <c r="D34" i="38"/>
  <c r="C34" i="38"/>
  <c r="C37" i="38" s="1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D10" i="38"/>
  <c r="C10" i="38"/>
  <c r="E9" i="38"/>
  <c r="E8" i="38"/>
  <c r="E38" i="38" s="1"/>
  <c r="E7" i="38"/>
  <c r="D7" i="38"/>
  <c r="D37" i="38" s="1"/>
  <c r="C7" i="38"/>
  <c r="F27" i="35"/>
  <c r="E27" i="35"/>
  <c r="D27" i="35"/>
  <c r="C27" i="35"/>
  <c r="F10" i="35"/>
  <c r="D10" i="35"/>
  <c r="F7" i="35"/>
  <c r="E28" i="36"/>
  <c r="E27" i="36"/>
  <c r="E26" i="36" s="1"/>
  <c r="D26" i="36"/>
  <c r="E25" i="36"/>
  <c r="E24" i="36"/>
  <c r="E23" i="36"/>
  <c r="E22" i="36"/>
  <c r="E21" i="36"/>
  <c r="E20" i="36"/>
  <c r="E19" i="36"/>
  <c r="E18" i="36"/>
  <c r="E17" i="36"/>
  <c r="E16" i="36"/>
  <c r="E15" i="36"/>
  <c r="E13" i="36"/>
  <c r="E12" i="36"/>
  <c r="E11" i="36"/>
  <c r="C10" i="36"/>
  <c r="D7" i="36"/>
  <c r="C7" i="36"/>
  <c r="F10" i="34"/>
  <c r="F7" i="34"/>
  <c r="E29" i="35"/>
  <c r="E28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C10" i="35"/>
  <c r="C7" i="35"/>
  <c r="F10" i="33"/>
  <c r="F7" i="33"/>
  <c r="E23" i="34"/>
  <c r="E22" i="34"/>
  <c r="D21" i="34"/>
  <c r="C21" i="34"/>
  <c r="E20" i="34"/>
  <c r="E19" i="34"/>
  <c r="E17" i="34"/>
  <c r="E16" i="34"/>
  <c r="E15" i="34"/>
  <c r="E14" i="34"/>
  <c r="E13" i="34"/>
  <c r="E12" i="34"/>
  <c r="E11" i="34"/>
  <c r="D10" i="34"/>
  <c r="C10" i="34"/>
  <c r="C7" i="34"/>
  <c r="D10" i="32"/>
  <c r="F10" i="32"/>
  <c r="F7" i="32"/>
  <c r="F26" i="32" s="1"/>
  <c r="F27" i="32" s="1"/>
  <c r="E24" i="33"/>
  <c r="E23" i="33"/>
  <c r="D22" i="33"/>
  <c r="C22" i="33"/>
  <c r="E21" i="33"/>
  <c r="E20" i="33"/>
  <c r="E19" i="33"/>
  <c r="E18" i="33"/>
  <c r="E17" i="33"/>
  <c r="E16" i="33"/>
  <c r="E15" i="33"/>
  <c r="E14" i="33"/>
  <c r="E13" i="33"/>
  <c r="E12" i="33"/>
  <c r="E11" i="33"/>
  <c r="D10" i="33"/>
  <c r="C10" i="33"/>
  <c r="D7" i="33"/>
  <c r="C7" i="33"/>
  <c r="F10" i="31"/>
  <c r="F7" i="31"/>
  <c r="E25" i="32"/>
  <c r="E24" i="32"/>
  <c r="D23" i="32"/>
  <c r="C23" i="32"/>
  <c r="E20" i="32"/>
  <c r="E19" i="32"/>
  <c r="E18" i="32"/>
  <c r="E17" i="32"/>
  <c r="E16" i="32"/>
  <c r="E15" i="32"/>
  <c r="E14" i="32"/>
  <c r="E13" i="32"/>
  <c r="E12" i="32"/>
  <c r="E11" i="32"/>
  <c r="C10" i="32"/>
  <c r="C7" i="32"/>
  <c r="F33" i="30"/>
  <c r="F34" i="30" s="1"/>
  <c r="E33" i="30"/>
  <c r="E34" i="30" s="1"/>
  <c r="D33" i="30"/>
  <c r="D34" i="30" s="1"/>
  <c r="C33" i="30"/>
  <c r="C34" i="30" s="1"/>
  <c r="E24" i="31"/>
  <c r="E23" i="31"/>
  <c r="E22" i="31" s="1"/>
  <c r="D22" i="31"/>
  <c r="E21" i="31"/>
  <c r="E20" i="31"/>
  <c r="E19" i="31"/>
  <c r="E18" i="31"/>
  <c r="E17" i="31"/>
  <c r="E16" i="31"/>
  <c r="E15" i="31"/>
  <c r="E14" i="31"/>
  <c r="E13" i="31"/>
  <c r="E12" i="31"/>
  <c r="E11" i="31"/>
  <c r="D10" i="31"/>
  <c r="C10" i="31"/>
  <c r="C7" i="31"/>
  <c r="D10" i="29"/>
  <c r="E20" i="29"/>
  <c r="D7" i="29"/>
  <c r="F25" i="29"/>
  <c r="E24" i="30"/>
  <c r="E23" i="30"/>
  <c r="F25" i="30"/>
  <c r="F26" i="30" s="1"/>
  <c r="D22" i="30"/>
  <c r="C22" i="30"/>
  <c r="E21" i="30"/>
  <c r="E20" i="30"/>
  <c r="E19" i="30"/>
  <c r="E18" i="30"/>
  <c r="E17" i="30"/>
  <c r="E16" i="30"/>
  <c r="E15" i="30"/>
  <c r="E14" i="30"/>
  <c r="E13" i="30"/>
  <c r="E12" i="30"/>
  <c r="E11" i="30"/>
  <c r="D10" i="30"/>
  <c r="C10" i="30"/>
  <c r="C7" i="30"/>
  <c r="F28" i="27"/>
  <c r="F10" i="27"/>
  <c r="F7" i="27"/>
  <c r="F6" i="27"/>
  <c r="E23" i="29"/>
  <c r="E22" i="29"/>
  <c r="D21" i="29"/>
  <c r="C21" i="29"/>
  <c r="E19" i="29"/>
  <c r="E18" i="29"/>
  <c r="E17" i="29"/>
  <c r="E16" i="29"/>
  <c r="E15" i="29"/>
  <c r="E14" i="29"/>
  <c r="E13" i="29"/>
  <c r="E12" i="29"/>
  <c r="E11" i="29"/>
  <c r="C10" i="29"/>
  <c r="C7" i="29"/>
  <c r="E31" i="24"/>
  <c r="F26" i="24"/>
  <c r="C26" i="24"/>
  <c r="C22" i="24"/>
  <c r="E9" i="24"/>
  <c r="E8" i="24"/>
  <c r="E26" i="27"/>
  <c r="E25" i="27"/>
  <c r="D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D10" i="27"/>
  <c r="C10" i="27"/>
  <c r="D7" i="27"/>
  <c r="C7" i="27"/>
  <c r="E6" i="24"/>
  <c r="F29" i="36" l="1"/>
  <c r="F30" i="36" s="1"/>
  <c r="E10" i="36"/>
  <c r="D29" i="36"/>
  <c r="D30" i="36" s="1"/>
  <c r="C29" i="36"/>
  <c r="C30" i="36" s="1"/>
  <c r="E37" i="38"/>
  <c r="E39" i="38" s="1"/>
  <c r="E10" i="35"/>
  <c r="F30" i="35"/>
  <c r="F31" i="35" s="1"/>
  <c r="C30" i="35"/>
  <c r="E7" i="35"/>
  <c r="D7" i="35"/>
  <c r="D30" i="35" s="1"/>
  <c r="D31" i="35" s="1"/>
  <c r="F24" i="34"/>
  <c r="F25" i="34" s="1"/>
  <c r="E21" i="34"/>
  <c r="E10" i="34"/>
  <c r="C24" i="34"/>
  <c r="C25" i="34" s="1"/>
  <c r="D7" i="34"/>
  <c r="D24" i="34" s="1"/>
  <c r="D25" i="34" s="1"/>
  <c r="E10" i="33"/>
  <c r="E22" i="33"/>
  <c r="F25" i="33"/>
  <c r="F26" i="33" s="1"/>
  <c r="C25" i="33"/>
  <c r="C26" i="33" s="1"/>
  <c r="D25" i="33"/>
  <c r="D26" i="33" s="1"/>
  <c r="E7" i="33"/>
  <c r="E7" i="34"/>
  <c r="E23" i="32"/>
  <c r="C26" i="32"/>
  <c r="C27" i="32" s="1"/>
  <c r="E7" i="32"/>
  <c r="D7" i="32"/>
  <c r="D26" i="32" s="1"/>
  <c r="D27" i="32" s="1"/>
  <c r="E10" i="31"/>
  <c r="C25" i="31"/>
  <c r="C26" i="31" s="1"/>
  <c r="F25" i="31"/>
  <c r="F26" i="31" s="1"/>
  <c r="E7" i="31"/>
  <c r="D7" i="31"/>
  <c r="D25" i="31" s="1"/>
  <c r="D26" i="31" s="1"/>
  <c r="E22" i="30"/>
  <c r="E10" i="30"/>
  <c r="C25" i="30"/>
  <c r="C26" i="30" s="1"/>
  <c r="E7" i="30"/>
  <c r="D7" i="30"/>
  <c r="D25" i="30" s="1"/>
  <c r="D26" i="30" s="1"/>
  <c r="E10" i="29"/>
  <c r="E21" i="29"/>
  <c r="D24" i="29"/>
  <c r="D25" i="29" s="1"/>
  <c r="C24" i="29"/>
  <c r="C25" i="29" s="1"/>
  <c r="D27" i="27"/>
  <c r="D28" i="27" s="1"/>
  <c r="E10" i="27"/>
  <c r="E24" i="27"/>
  <c r="C27" i="27"/>
  <c r="C28" i="27" s="1"/>
  <c r="F27" i="27"/>
  <c r="E7" i="29"/>
  <c r="E10" i="25"/>
  <c r="E9" i="25"/>
  <c r="E8" i="25"/>
  <c r="E7" i="25"/>
  <c r="E11" i="25"/>
  <c r="D11" i="25"/>
  <c r="C11" i="25"/>
  <c r="F11" i="25"/>
  <c r="F7" i="25"/>
  <c r="D7" i="25"/>
  <c r="C7" i="25"/>
  <c r="E24" i="24"/>
  <c r="E23" i="24"/>
  <c r="F22" i="24"/>
  <c r="D22" i="24"/>
  <c r="E21" i="24"/>
  <c r="E20" i="24"/>
  <c r="E19" i="24"/>
  <c r="E18" i="24"/>
  <c r="E17" i="24"/>
  <c r="E16" i="24"/>
  <c r="E15" i="24"/>
  <c r="E14" i="24"/>
  <c r="E13" i="24"/>
  <c r="E12" i="24"/>
  <c r="E11" i="24"/>
  <c r="D10" i="24"/>
  <c r="C10" i="24"/>
  <c r="D7" i="24"/>
  <c r="C7" i="24"/>
  <c r="E7" i="20"/>
  <c r="F15" i="20"/>
  <c r="D17" i="21"/>
  <c r="E7" i="21"/>
  <c r="F20" i="21"/>
  <c r="E19" i="21"/>
  <c r="E18" i="21"/>
  <c r="E16" i="21"/>
  <c r="E15" i="21"/>
  <c r="E14" i="21"/>
  <c r="E13" i="21"/>
  <c r="E12" i="21"/>
  <c r="E11" i="21"/>
  <c r="E10" i="21"/>
  <c r="D9" i="21"/>
  <c r="C9" i="21"/>
  <c r="E8" i="21"/>
  <c r="C6" i="21"/>
  <c r="E11" i="19"/>
  <c r="E8" i="19"/>
  <c r="F16" i="19"/>
  <c r="E14" i="20"/>
  <c r="E13" i="20"/>
  <c r="D12" i="20"/>
  <c r="C12" i="20"/>
  <c r="E11" i="20"/>
  <c r="E10" i="20"/>
  <c r="D9" i="20"/>
  <c r="C9" i="20"/>
  <c r="E8" i="20"/>
  <c r="C6" i="20"/>
  <c r="F17" i="18"/>
  <c r="E15" i="19"/>
  <c r="E14" i="19"/>
  <c r="D13" i="19"/>
  <c r="C13" i="19"/>
  <c r="E12" i="19"/>
  <c r="E10" i="19"/>
  <c r="D9" i="19"/>
  <c r="C9" i="19"/>
  <c r="E7" i="19"/>
  <c r="C6" i="19"/>
  <c r="E7" i="17"/>
  <c r="E16" i="18"/>
  <c r="E15" i="18"/>
  <c r="D14" i="18"/>
  <c r="C14" i="18"/>
  <c r="E13" i="18"/>
  <c r="E12" i="18"/>
  <c r="E11" i="18"/>
  <c r="E10" i="18"/>
  <c r="D9" i="18"/>
  <c r="C9" i="18"/>
  <c r="E8" i="18"/>
  <c r="E7" i="18"/>
  <c r="D6" i="18"/>
  <c r="C6" i="18"/>
  <c r="E8" i="6"/>
  <c r="E7" i="6"/>
  <c r="C6" i="6"/>
  <c r="E29" i="17"/>
  <c r="E28" i="17"/>
  <c r="D27" i="17"/>
  <c r="C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D9" i="17"/>
  <c r="C9" i="17"/>
  <c r="E8" i="17"/>
  <c r="C6" i="17"/>
  <c r="E19" i="16"/>
  <c r="D6" i="16"/>
  <c r="E22" i="16"/>
  <c r="E21" i="16"/>
  <c r="D20" i="16"/>
  <c r="C20" i="16"/>
  <c r="E18" i="16"/>
  <c r="E17" i="16"/>
  <c r="E16" i="16"/>
  <c r="E15" i="16"/>
  <c r="E14" i="16"/>
  <c r="E13" i="16"/>
  <c r="E12" i="16"/>
  <c r="E11" i="16"/>
  <c r="E10" i="16"/>
  <c r="D9" i="16"/>
  <c r="C9" i="16"/>
  <c r="E8" i="16"/>
  <c r="E7" i="16"/>
  <c r="C6" i="16"/>
  <c r="E8" i="15"/>
  <c r="E7" i="15"/>
  <c r="E6" i="15" s="1"/>
  <c r="F35" i="14"/>
  <c r="E30" i="14"/>
  <c r="E29" i="14"/>
  <c r="E35" i="14"/>
  <c r="D35" i="14"/>
  <c r="C35" i="14"/>
  <c r="E31" i="14"/>
  <c r="F31" i="14"/>
  <c r="D31" i="14"/>
  <c r="C31" i="14"/>
  <c r="E28" i="14"/>
  <c r="F28" i="14"/>
  <c r="D28" i="14"/>
  <c r="C28" i="14"/>
  <c r="E21" i="15"/>
  <c r="E20" i="15"/>
  <c r="D19" i="15"/>
  <c r="C19" i="15"/>
  <c r="E18" i="15"/>
  <c r="E17" i="15"/>
  <c r="E16" i="15"/>
  <c r="E15" i="15"/>
  <c r="E14" i="15"/>
  <c r="E13" i="15"/>
  <c r="E12" i="15"/>
  <c r="E11" i="15"/>
  <c r="E10" i="15"/>
  <c r="F9" i="15"/>
  <c r="D9" i="15"/>
  <c r="C9" i="15"/>
  <c r="F6" i="15"/>
  <c r="D6" i="15"/>
  <c r="C6" i="15"/>
  <c r="D6" i="14"/>
  <c r="E23" i="14"/>
  <c r="E22" i="14"/>
  <c r="D21" i="14"/>
  <c r="C21" i="14"/>
  <c r="E20" i="14"/>
  <c r="E19" i="14"/>
  <c r="E18" i="14"/>
  <c r="E17" i="14"/>
  <c r="E16" i="14"/>
  <c r="E15" i="14"/>
  <c r="E14" i="14"/>
  <c r="E13" i="14"/>
  <c r="E12" i="14"/>
  <c r="E11" i="14"/>
  <c r="E10" i="14"/>
  <c r="F9" i="14"/>
  <c r="D9" i="14"/>
  <c r="C9" i="14"/>
  <c r="E8" i="14"/>
  <c r="E7" i="14"/>
  <c r="F6" i="14"/>
  <c r="C6" i="14"/>
  <c r="E18" i="13"/>
  <c r="E17" i="13"/>
  <c r="E16" i="13"/>
  <c r="E15" i="13"/>
  <c r="E14" i="13"/>
  <c r="E13" i="13"/>
  <c r="E39" i="12"/>
  <c r="E38" i="12"/>
  <c r="E37" i="12"/>
  <c r="E36" i="12"/>
  <c r="F12" i="13"/>
  <c r="D12" i="13"/>
  <c r="C12" i="13"/>
  <c r="E7" i="13"/>
  <c r="F7" i="13"/>
  <c r="D7" i="13"/>
  <c r="C7" i="13"/>
  <c r="F28" i="12"/>
  <c r="E28" i="12"/>
  <c r="D28" i="12"/>
  <c r="C28" i="12"/>
  <c r="F33" i="12"/>
  <c r="D33" i="12"/>
  <c r="C33" i="12"/>
  <c r="E35" i="12"/>
  <c r="E33" i="12" s="1"/>
  <c r="E34" i="12"/>
  <c r="E31" i="12"/>
  <c r="E30" i="12"/>
  <c r="E29" i="12"/>
  <c r="E24" i="12"/>
  <c r="E23" i="12"/>
  <c r="F22" i="12"/>
  <c r="D22" i="12"/>
  <c r="C22" i="12"/>
  <c r="F6" i="12"/>
  <c r="E21" i="12"/>
  <c r="E20" i="12"/>
  <c r="F19" i="12"/>
  <c r="D19" i="12"/>
  <c r="C19" i="12"/>
  <c r="E18" i="12"/>
  <c r="E17" i="12"/>
  <c r="E16" i="12"/>
  <c r="E15" i="12"/>
  <c r="E14" i="12"/>
  <c r="E13" i="12"/>
  <c r="E12" i="12"/>
  <c r="E11" i="12"/>
  <c r="E10" i="12"/>
  <c r="F9" i="12"/>
  <c r="D9" i="12"/>
  <c r="C9" i="12"/>
  <c r="E8" i="12"/>
  <c r="E7" i="12"/>
  <c r="D6" i="12"/>
  <c r="C6" i="12"/>
  <c r="E8" i="11"/>
  <c r="E18" i="11"/>
  <c r="E17" i="11"/>
  <c r="F16" i="11"/>
  <c r="D16" i="11"/>
  <c r="C16" i="11"/>
  <c r="E14" i="11"/>
  <c r="E13" i="11"/>
  <c r="E12" i="11"/>
  <c r="E11" i="11"/>
  <c r="E10" i="11"/>
  <c r="E7" i="11"/>
  <c r="C6" i="11"/>
  <c r="E8" i="10"/>
  <c r="E7" i="10"/>
  <c r="E6" i="10" s="1"/>
  <c r="E16" i="10"/>
  <c r="E15" i="10"/>
  <c r="F14" i="10"/>
  <c r="D14" i="10"/>
  <c r="C14" i="10"/>
  <c r="E13" i="10"/>
  <c r="E12" i="10"/>
  <c r="E11" i="10"/>
  <c r="E10" i="10"/>
  <c r="F9" i="10"/>
  <c r="D9" i="10"/>
  <c r="C9" i="10"/>
  <c r="C6" i="10"/>
  <c r="E8" i="9"/>
  <c r="E7" i="9"/>
  <c r="D6" i="9"/>
  <c r="C6" i="9"/>
  <c r="F17" i="9"/>
  <c r="E16" i="9"/>
  <c r="E15" i="9"/>
  <c r="E14" i="9" s="1"/>
  <c r="D14" i="9"/>
  <c r="C14" i="9"/>
  <c r="E13" i="9"/>
  <c r="E12" i="9"/>
  <c r="E11" i="9"/>
  <c r="E10" i="9"/>
  <c r="D9" i="9"/>
  <c r="C9" i="9"/>
  <c r="F17" i="8"/>
  <c r="F6" i="8"/>
  <c r="E6" i="8"/>
  <c r="E19" i="8"/>
  <c r="E17" i="8" s="1"/>
  <c r="E18" i="8"/>
  <c r="D17" i="8"/>
  <c r="C17" i="8"/>
  <c r="E16" i="8"/>
  <c r="E15" i="8"/>
  <c r="E14" i="8"/>
  <c r="E13" i="8"/>
  <c r="E12" i="8"/>
  <c r="E11" i="8"/>
  <c r="E10" i="8"/>
  <c r="F9" i="8"/>
  <c r="D9" i="8"/>
  <c r="C9" i="8"/>
  <c r="D6" i="8"/>
  <c r="C6" i="8"/>
  <c r="E22" i="6"/>
  <c r="E21" i="6"/>
  <c r="E19" i="6"/>
  <c r="E18" i="6"/>
  <c r="E17" i="6"/>
  <c r="E16" i="6"/>
  <c r="E15" i="6"/>
  <c r="E14" i="6"/>
  <c r="E13" i="6"/>
  <c r="E12" i="6"/>
  <c r="E11" i="6"/>
  <c r="E10" i="6"/>
  <c r="C23" i="2"/>
  <c r="C9" i="2"/>
  <c r="C6" i="2"/>
  <c r="C26" i="2" s="1"/>
  <c r="E25" i="2"/>
  <c r="E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" i="2"/>
  <c r="E7" i="2"/>
  <c r="E6" i="2" s="1"/>
  <c r="D20" i="6"/>
  <c r="C20" i="6"/>
  <c r="D9" i="6"/>
  <c r="C9" i="6"/>
  <c r="D6" i="6"/>
  <c r="D23" i="2"/>
  <c r="D9" i="2"/>
  <c r="D6" i="2"/>
  <c r="F6" i="2"/>
  <c r="E7" i="36" l="1"/>
  <c r="E29" i="36" s="1"/>
  <c r="C31" i="35"/>
  <c r="E30" i="35"/>
  <c r="E24" i="34"/>
  <c r="E25" i="34" s="1"/>
  <c r="E25" i="33"/>
  <c r="E26" i="32"/>
  <c r="E28" i="32" s="1"/>
  <c r="E25" i="31"/>
  <c r="E25" i="30"/>
  <c r="E26" i="30" s="1"/>
  <c r="E24" i="29"/>
  <c r="E25" i="29" s="1"/>
  <c r="E7" i="27"/>
  <c r="E27" i="27" s="1"/>
  <c r="D25" i="24"/>
  <c r="D26" i="24" s="1"/>
  <c r="F25" i="24"/>
  <c r="E7" i="24"/>
  <c r="E22" i="24"/>
  <c r="E10" i="24"/>
  <c r="C25" i="24"/>
  <c r="E12" i="20"/>
  <c r="E9" i="20"/>
  <c r="C15" i="20"/>
  <c r="E6" i="20"/>
  <c r="E15" i="20" s="1"/>
  <c r="D6" i="20"/>
  <c r="D15" i="20" s="1"/>
  <c r="E9" i="21"/>
  <c r="E17" i="21"/>
  <c r="E6" i="21"/>
  <c r="C20" i="21"/>
  <c r="D6" i="21"/>
  <c r="D20" i="21" s="1"/>
  <c r="E13" i="19"/>
  <c r="E9" i="19"/>
  <c r="C16" i="19"/>
  <c r="D6" i="19"/>
  <c r="D16" i="19" s="1"/>
  <c r="E6" i="19"/>
  <c r="E6" i="18"/>
  <c r="D17" i="18"/>
  <c r="E9" i="18"/>
  <c r="E14" i="18"/>
  <c r="C17" i="18"/>
  <c r="E27" i="17"/>
  <c r="E9" i="17"/>
  <c r="C30" i="17"/>
  <c r="E6" i="17"/>
  <c r="D6" i="17"/>
  <c r="D30" i="17" s="1"/>
  <c r="F30" i="17"/>
  <c r="E20" i="6"/>
  <c r="E9" i="6"/>
  <c r="E6" i="6"/>
  <c r="E20" i="16"/>
  <c r="E9" i="16"/>
  <c r="D23" i="16"/>
  <c r="C23" i="16"/>
  <c r="E6" i="16"/>
  <c r="E19" i="15"/>
  <c r="F22" i="15"/>
  <c r="E9" i="15"/>
  <c r="E22" i="15" s="1"/>
  <c r="D22" i="15"/>
  <c r="C22" i="15"/>
  <c r="F38" i="14"/>
  <c r="C38" i="14"/>
  <c r="D38" i="14"/>
  <c r="E38" i="14"/>
  <c r="E6" i="14"/>
  <c r="E21" i="14"/>
  <c r="E9" i="14"/>
  <c r="D24" i="14"/>
  <c r="C24" i="14"/>
  <c r="F24" i="14"/>
  <c r="E12" i="13"/>
  <c r="E19" i="13" s="1"/>
  <c r="D19" i="13"/>
  <c r="F19" i="13"/>
  <c r="C19" i="13"/>
  <c r="F40" i="12"/>
  <c r="C40" i="12"/>
  <c r="D40" i="12"/>
  <c r="E40" i="12"/>
  <c r="F25" i="12"/>
  <c r="E22" i="12"/>
  <c r="D25" i="12"/>
  <c r="C25" i="12"/>
  <c r="E19" i="12"/>
  <c r="E9" i="12"/>
  <c r="E6" i="12"/>
  <c r="E16" i="11"/>
  <c r="C19" i="11"/>
  <c r="E6" i="11"/>
  <c r="D6" i="11"/>
  <c r="D19" i="11" s="1"/>
  <c r="E14" i="10"/>
  <c r="E9" i="10"/>
  <c r="C17" i="10"/>
  <c r="D6" i="10"/>
  <c r="D17" i="10" s="1"/>
  <c r="E6" i="9"/>
  <c r="D17" i="9"/>
  <c r="E9" i="9"/>
  <c r="E17" i="9" s="1"/>
  <c r="C17" i="9"/>
  <c r="C20" i="8"/>
  <c r="E9" i="8"/>
  <c r="E20" i="8" s="1"/>
  <c r="D20" i="8"/>
  <c r="F20" i="8"/>
  <c r="E23" i="2"/>
  <c r="C23" i="6"/>
  <c r="D23" i="6"/>
  <c r="E9" i="2"/>
  <c r="D26" i="2"/>
  <c r="F23" i="2"/>
  <c r="F9" i="2"/>
  <c r="E30" i="36" l="1"/>
  <c r="E31" i="35"/>
  <c r="E26" i="33"/>
  <c r="E27" i="32"/>
  <c r="E26" i="31"/>
  <c r="E28" i="27"/>
  <c r="E25" i="24"/>
  <c r="E20" i="21"/>
  <c r="E16" i="19"/>
  <c r="E17" i="18"/>
  <c r="E30" i="17"/>
  <c r="E23" i="6"/>
  <c r="E25" i="6" s="1"/>
  <c r="E23" i="16"/>
  <c r="E24" i="14"/>
  <c r="E25" i="12"/>
  <c r="E19" i="11"/>
  <c r="E17" i="10"/>
  <c r="E26" i="2"/>
  <c r="F26" i="2"/>
  <c r="E26" i="24" l="1"/>
  <c r="F6" i="10" l="1"/>
  <c r="F17" i="10" s="1"/>
  <c r="F6" i="11"/>
  <c r="F19" i="11" s="1"/>
  <c r="F23" i="16"/>
  <c r="F23" i="6"/>
</calcChain>
</file>

<file path=xl/sharedStrings.xml><?xml version="1.0" encoding="utf-8"?>
<sst xmlns="http://schemas.openxmlformats.org/spreadsheetml/2006/main" count="1271" uniqueCount="378">
  <si>
    <t>BATTLE MOUNTAIN GENERAL HOSPITAL</t>
  </si>
  <si>
    <t>BUDGET 2026-2027</t>
  </si>
  <si>
    <t>DIETARY</t>
  </si>
  <si>
    <t>LAUNDRY</t>
  </si>
  <si>
    <t>ACTIVITIES</t>
  </si>
  <si>
    <t>JPSHC</t>
  </si>
  <si>
    <t>IT</t>
  </si>
  <si>
    <t>HR</t>
  </si>
  <si>
    <t>FINANCE</t>
  </si>
  <si>
    <t>BOARD</t>
  </si>
  <si>
    <t>EMPLOYEE COSTS</t>
  </si>
  <si>
    <t>Wages</t>
  </si>
  <si>
    <t>Benefits</t>
  </si>
  <si>
    <t>EXPENSES</t>
  </si>
  <si>
    <t>Advertising</t>
  </si>
  <si>
    <t>Collection Expense</t>
  </si>
  <si>
    <t>Cleaning Supplies</t>
  </si>
  <si>
    <t>Donations/Scholarships</t>
  </si>
  <si>
    <t>Dues &amp; Subscriptions</t>
  </si>
  <si>
    <t>Employee Recognition</t>
  </si>
  <si>
    <t>EOP Disaster</t>
  </si>
  <si>
    <t>Equipment Rental/Lease</t>
  </si>
  <si>
    <t>Food</t>
  </si>
  <si>
    <t>Food- Meat/Fish</t>
  </si>
  <si>
    <t>Fuel</t>
  </si>
  <si>
    <t>Legal Fees</t>
  </si>
  <si>
    <t>Medical Supplies</t>
  </si>
  <si>
    <t>Merchant Fees/Bank chgs</t>
  </si>
  <si>
    <t>Minor Equipment</t>
  </si>
  <si>
    <t>Non-Medical Supplies</t>
  </si>
  <si>
    <t>Office Supplies</t>
  </si>
  <si>
    <t>Other/Misc Expenses</t>
  </si>
  <si>
    <t>Audit</t>
  </si>
  <si>
    <t>Postage &amp; Freight</t>
  </si>
  <si>
    <t>Professional Fees</t>
  </si>
  <si>
    <t>Public Relations</t>
  </si>
  <si>
    <t>Purchased Maintenance</t>
  </si>
  <si>
    <t>Purchased Service</t>
  </si>
  <si>
    <t>Recruitment</t>
  </si>
  <si>
    <t>Repairs &amp; Maintenance</t>
  </si>
  <si>
    <t>Cell Phone</t>
  </si>
  <si>
    <t>TRAINING /TRAVEL</t>
  </si>
  <si>
    <t xml:space="preserve">Training </t>
  </si>
  <si>
    <t xml:space="preserve">Travel </t>
  </si>
  <si>
    <t>UTILITIES</t>
  </si>
  <si>
    <t>Electricity</t>
  </si>
  <si>
    <t>Garbage</t>
  </si>
  <si>
    <t>Natural Gas/Propane</t>
  </si>
  <si>
    <t>Phone</t>
  </si>
  <si>
    <t>Water</t>
  </si>
  <si>
    <t>Dept Total Expenses</t>
  </si>
  <si>
    <t>Bad Debt</t>
  </si>
  <si>
    <t>DEPARTMENT</t>
  </si>
  <si>
    <t>FTE</t>
  </si>
  <si>
    <t> US FOODSERVICE, INC.</t>
  </si>
  <si>
    <t> US FOODSERVICE, INC.-  35/mos</t>
  </si>
  <si>
    <t>SERVSAFE</t>
  </si>
  <si>
    <t>HOOD AND DUCT CLEANING</t>
  </si>
  <si>
    <t>CAPEX</t>
  </si>
  <si>
    <t>NONE</t>
  </si>
  <si>
    <t>JODY ALLEN ( DIETICIAN)</t>
  </si>
  <si>
    <t>SEPTIC PUMPING</t>
  </si>
  <si>
    <t>HOUSEKEEPING</t>
  </si>
  <si>
    <t xml:space="preserve">FLOOR MACHINES BATTERIES/SQUEEGIES </t>
  </si>
  <si>
    <t>Actual</t>
  </si>
  <si>
    <t>Budget</t>
  </si>
  <si>
    <t>ACTUAL 12/31/2025</t>
  </si>
  <si>
    <t>BUDGET 06/30/2026</t>
  </si>
  <si>
    <t>BUDGET 
06/30/2027</t>
  </si>
  <si>
    <t>Estimated</t>
  </si>
  <si>
    <t>ESTIMATED 06/30/2026</t>
  </si>
  <si>
    <t>SOCIAL SERVICES</t>
  </si>
  <si>
    <t>No consultant</t>
  </si>
  <si>
    <t>MAINTENANCE</t>
  </si>
  <si>
    <t>CHEMAQUA</t>
  </si>
  <si>
    <t>WATER SOFTENER</t>
  </si>
  <si>
    <t>* WAITING APPROVAL*</t>
  </si>
  <si>
    <t>NAPA/HARDWARE/FERGUSON*</t>
  </si>
  <si>
    <t>LANDER HARDWARE</t>
  </si>
  <si>
    <t>LEON ELECTRIC/EMCOR/ALLEGION ACCESS</t>
  </si>
  <si>
    <t>MOUNTAIN MEDICAL/RHP MECHANICAL</t>
  </si>
  <si>
    <t>WOLF HVACR</t>
  </si>
  <si>
    <t>PLANT OPERATIONS</t>
  </si>
  <si>
    <t>NO MORE PHONE</t>
  </si>
  <si>
    <t>TREE TRIMMING</t>
  </si>
  <si>
    <t>TROPHY PEAK/BATTLE MOUNTAIN PLUMBING</t>
  </si>
  <si>
    <t>CLEARLYI INC * TYSON is sourcing for new phone system*</t>
  </si>
  <si>
    <t>DOOR LOCK SYSTEM</t>
  </si>
  <si>
    <t>NBF * Sourcing for new collection agency*</t>
  </si>
  <si>
    <t>Postage Machine</t>
  </si>
  <si>
    <t>Coffee Table &amp; Coffee Machine</t>
  </si>
  <si>
    <t>Coffee Supplies</t>
  </si>
  <si>
    <t>Athena credit card processing</t>
  </si>
  <si>
    <t>Copier</t>
  </si>
  <si>
    <t>TRICONFERENCE</t>
  </si>
  <si>
    <t>Annual fee for certifications "CEU" (125*6 =750)</t>
  </si>
  <si>
    <t>INS BILLING SPECIALIST (1099*3 =3297) &amp; CEU Bundles( 399*7=2793)</t>
  </si>
  <si>
    <t>BUSINESS OFFICE</t>
  </si>
  <si>
    <t>MEDICAL RECORDS</t>
  </si>
  <si>
    <t xml:space="preserve"> HEALTHIE NEVADA (1250X4)=5K / TRUE CODE / 742 X12 =8904</t>
  </si>
  <si>
    <t>Revenue cycle pro &amp;  Athena</t>
  </si>
  <si>
    <t>Cancelled Phone</t>
  </si>
  <si>
    <t>CLINIC COMPUTER TANGENT</t>
  </si>
  <si>
    <t>PAC STATES</t>
  </si>
  <si>
    <t>CLOUD MIGRATION / CORCOM / CONSENSUS</t>
  </si>
  <si>
    <t>Slide Geeks</t>
  </si>
  <si>
    <t>Athena ADP / Clock Lease</t>
  </si>
  <si>
    <t>PDF VIEWER</t>
  </si>
  <si>
    <t>CLA AUDITOR</t>
  </si>
  <si>
    <t>CFO WAYNE</t>
  </si>
  <si>
    <t>CONTROLLERSHIP TRAINING (7K)</t>
  </si>
  <si>
    <t>ADMINISTRATION</t>
  </si>
  <si>
    <t>AGAPE HOSPICE</t>
  </si>
  <si>
    <t>NRHP /NHA</t>
  </si>
  <si>
    <t>Christmas Party</t>
  </si>
  <si>
    <t>Goicoechea, DiGrazia, Coyle &amp; Stanton LTD</t>
  </si>
  <si>
    <t>MARKETING PERSON</t>
  </si>
  <si>
    <t>PHYSICIAN'S ACCOMMODATION (ARGENTA)</t>
  </si>
  <si>
    <t>Quality Management</t>
  </si>
  <si>
    <t>Point Click Care</t>
  </si>
  <si>
    <t>Medical Consultant Network * Sourcing for new system "RELIAS"*</t>
  </si>
  <si>
    <t>ASHRM</t>
  </si>
  <si>
    <t>INFECTION CONTROL</t>
  </si>
  <si>
    <t>Water testing 1200.00 qtr</t>
  </si>
  <si>
    <t>NURSE ADMINISTRATION</t>
  </si>
  <si>
    <t>KINGSTON</t>
  </si>
  <si>
    <t>REVENUES</t>
  </si>
  <si>
    <t>Equipment Rental</t>
  </si>
  <si>
    <t>Instruments</t>
  </si>
  <si>
    <t>IV Solutions</t>
  </si>
  <si>
    <t>IV Supplies</t>
  </si>
  <si>
    <t>Ortho Supplies</t>
  </si>
  <si>
    <t>Other Expenses</t>
  </si>
  <si>
    <t>Oxygen &amp; Other Gases</t>
  </si>
  <si>
    <t>Pharmaceuticals</t>
  </si>
  <si>
    <t>Sutures &amp; Needles</t>
  </si>
  <si>
    <t xml:space="preserve">ACUTE RATE </t>
  </si>
  <si>
    <t>Revenue - Expense</t>
  </si>
  <si>
    <t>STRYKER ELECTRICAL BED</t>
  </si>
  <si>
    <t>BED MATTRESS</t>
  </si>
  <si>
    <t>LIPPINCOTT</t>
  </si>
  <si>
    <t>SWING</t>
  </si>
  <si>
    <t>SWING RATE</t>
  </si>
  <si>
    <t>ACUTE</t>
  </si>
  <si>
    <t>OBSERVATION</t>
  </si>
  <si>
    <t>ANNUALIZED REVENUE</t>
  </si>
  <si>
    <t>LTC</t>
  </si>
  <si>
    <t>AVERAGE CENSUS</t>
  </si>
  <si>
    <t>RATE</t>
  </si>
  <si>
    <t>PCC/LIPPINCOTT</t>
  </si>
  <si>
    <t>PCC</t>
  </si>
  <si>
    <t>HAIR DRESSER</t>
  </si>
  <si>
    <t>Auto Clave</t>
  </si>
  <si>
    <t>Copy Machine / Auto Clave Maintenance</t>
  </si>
  <si>
    <t>Jumpstock</t>
  </si>
  <si>
    <t>Amazon Account/Recalls</t>
  </si>
  <si>
    <t>CENTRAL SUPPLY</t>
  </si>
  <si>
    <t>LABORATORY</t>
  </si>
  <si>
    <t>*Requesting for Additional Med Tech*</t>
  </si>
  <si>
    <t>QUEST DIAGNOSTICS/ORCHARD/AMERICAN PROFICIENCY INSTITUTE</t>
  </si>
  <si>
    <t>BECKTON/ALCOR/BECKMAN</t>
  </si>
  <si>
    <t>BLOOD BANK</t>
  </si>
  <si>
    <t>BLOOD BANK - PLASMA - BLOOD BANK</t>
  </si>
  <si>
    <t>Dr. De Schutter's Calcium Scoring</t>
  </si>
  <si>
    <t>*Waiting for Qoute/Approval*</t>
  </si>
  <si>
    <t>Tahoe Carson Radiology</t>
  </si>
  <si>
    <t>RADIOLOGY</t>
  </si>
  <si>
    <t xml:space="preserve">PROFESSIONAL FEES/CONSULTANTS </t>
  </si>
  <si>
    <t>IV SUPPLIES</t>
  </si>
  <si>
    <t>RENOWN</t>
  </si>
  <si>
    <t>RESPIRATORY</t>
  </si>
  <si>
    <t>PHARMACY</t>
  </si>
  <si>
    <t>Audit Fee</t>
  </si>
  <si>
    <t>CIRRUS</t>
  </si>
  <si>
    <t>PCC /CAREFUSION</t>
  </si>
  <si>
    <t>INFUSION</t>
  </si>
  <si>
    <t>WEBPT</t>
  </si>
  <si>
    <t>3 CARTS</t>
  </si>
  <si>
    <t>BLODD RESTRICTION CUP</t>
  </si>
  <si>
    <t>STEAM MACHINE</t>
  </si>
  <si>
    <t>ADJUSTABLE DUMBBELLS</t>
  </si>
  <si>
    <t>PHYSICAL THERAPY</t>
  </si>
  <si>
    <t>ER</t>
  </si>
  <si>
    <t>BLADDER SCANNER</t>
  </si>
  <si>
    <t>GLIDESCOPE</t>
  </si>
  <si>
    <t>PROFESSIONAL FEES</t>
  </si>
  <si>
    <t xml:space="preserve">EQUIPMENT RENTAL/RENT </t>
  </si>
  <si>
    <t>TRUECODE/TRUEBRIDGE/CPSI</t>
  </si>
  <si>
    <t>DR. DE SCHUTTER</t>
  </si>
  <si>
    <t>PANACEA/WAYSTAR ZIRMED/ATHENA</t>
  </si>
  <si>
    <t>CLINIC</t>
  </si>
  <si>
    <t>CAPITAL EXPENDITURE REQUESTS</t>
  </si>
  <si>
    <t>FISCAL YEAR 2026-2027</t>
  </si>
  <si>
    <t>COST</t>
  </si>
  <si>
    <t>LIFE</t>
  </si>
  <si>
    <t>DEPRECIATION COST</t>
  </si>
  <si>
    <t>XXX</t>
  </si>
  <si>
    <t>WAITING FOR APPROVAL</t>
  </si>
  <si>
    <t>E/R</t>
  </si>
  <si>
    <t>FACILITY</t>
  </si>
  <si>
    <t>ARTWORK</t>
  </si>
  <si>
    <t>(6) OUTDOOR BENCHES</t>
  </si>
  <si>
    <t>JPHSC</t>
  </si>
  <si>
    <t xml:space="preserve">DORM </t>
  </si>
  <si>
    <t>ROOF</t>
  </si>
  <si>
    <t>FLOORING (CARPET)</t>
  </si>
  <si>
    <t>TOTAL</t>
  </si>
  <si>
    <t>FTE'S BY DEPARTMENT</t>
  </si>
  <si>
    <t>BUDGETED</t>
  </si>
  <si>
    <t>FTE'S 2026</t>
  </si>
  <si>
    <t>FTE'S 2027</t>
  </si>
  <si>
    <t>Acute</t>
  </si>
  <si>
    <t>CS/Materials Mgmt</t>
  </si>
  <si>
    <t>Lab</t>
  </si>
  <si>
    <t>Respiratory</t>
  </si>
  <si>
    <t>Radiology</t>
  </si>
  <si>
    <t>Pharmacy</t>
  </si>
  <si>
    <t>Clinic</t>
  </si>
  <si>
    <t>Dietary</t>
  </si>
  <si>
    <t>Housekeeping</t>
  </si>
  <si>
    <t>Laundry</t>
  </si>
  <si>
    <t>Social Services</t>
  </si>
  <si>
    <t>Activities</t>
  </si>
  <si>
    <t>Maintenance/Operations</t>
  </si>
  <si>
    <t>Finance</t>
  </si>
  <si>
    <t>Business Office</t>
  </si>
  <si>
    <t>Administration</t>
  </si>
  <si>
    <t>Medical Records</t>
  </si>
  <si>
    <t>Nursing Administration</t>
  </si>
  <si>
    <t>Quality Assurance/EOP</t>
  </si>
  <si>
    <t>Human Resources</t>
  </si>
  <si>
    <t>Infection Control</t>
  </si>
  <si>
    <t>Physical Therapy</t>
  </si>
  <si>
    <t>Interest</t>
  </si>
  <si>
    <t>Battle Mountain General Hospital</t>
  </si>
  <si>
    <t>Operating Budget</t>
  </si>
  <si>
    <t>FYE 6/30/27</t>
  </si>
  <si>
    <t>Revenues</t>
  </si>
  <si>
    <t>Change From</t>
  </si>
  <si>
    <t>Revenue</t>
  </si>
  <si>
    <t>FYE 6/30/26</t>
  </si>
  <si>
    <t>Budget 13</t>
  </si>
  <si>
    <t>CENSUS</t>
  </si>
  <si>
    <t>ACTUAL-SHOULD BE</t>
  </si>
  <si>
    <t>I/P Revenue</t>
  </si>
  <si>
    <t>136 AVE DAY</t>
  </si>
  <si>
    <t>Swing Bed Revenue</t>
  </si>
  <si>
    <t>O/P Revenue</t>
  </si>
  <si>
    <t>LTC Revenue</t>
  </si>
  <si>
    <t>RHC Revenue</t>
  </si>
  <si>
    <t>Emergency</t>
  </si>
  <si>
    <t>Observation</t>
  </si>
  <si>
    <t>Contractual Allowance</t>
  </si>
  <si>
    <t>1362-3500</t>
  </si>
  <si>
    <t>Net Patient Revenue</t>
  </si>
  <si>
    <t>1135-2000</t>
  </si>
  <si>
    <t>Other Operating</t>
  </si>
  <si>
    <t>Expenses</t>
  </si>
  <si>
    <t>Salaries</t>
  </si>
  <si>
    <t>Wage Analysis</t>
  </si>
  <si>
    <t>Physician Fees</t>
  </si>
  <si>
    <t>Physicals</t>
  </si>
  <si>
    <t>Insurance other</t>
  </si>
  <si>
    <t>Purchased Services</t>
  </si>
  <si>
    <t>Supplies</t>
  </si>
  <si>
    <t>physician recruitement</t>
  </si>
  <si>
    <t>audit fee</t>
  </si>
  <si>
    <t>Repair &amp; Maint.</t>
  </si>
  <si>
    <t>professional fee</t>
  </si>
  <si>
    <t>legal fee</t>
  </si>
  <si>
    <t>Lease &amp; Rental</t>
  </si>
  <si>
    <t>collection fee</t>
  </si>
  <si>
    <t>Travel</t>
  </si>
  <si>
    <t>Books Dues &amp; Sub</t>
  </si>
  <si>
    <t>Education &amp; Training</t>
  </si>
  <si>
    <t>Licenses</t>
  </si>
  <si>
    <t>Depr. &amp; Amort.</t>
  </si>
  <si>
    <t>New Hospital Building Depreciation</t>
  </si>
  <si>
    <t>Charity Write Off</t>
  </si>
  <si>
    <t>Insurance</t>
  </si>
  <si>
    <t>Other Expenses :</t>
  </si>
  <si>
    <t>Utilities</t>
  </si>
  <si>
    <t>Donation</t>
  </si>
  <si>
    <t>Postage</t>
  </si>
  <si>
    <t>Total Expenses</t>
  </si>
  <si>
    <t>late charges</t>
  </si>
  <si>
    <t>bank charges</t>
  </si>
  <si>
    <t>Non Op Expense Rental Exp</t>
  </si>
  <si>
    <t>misc fees</t>
  </si>
  <si>
    <t>employee recognition</t>
  </si>
  <si>
    <t>Rental Income</t>
  </si>
  <si>
    <t>scholarship</t>
  </si>
  <si>
    <t>Supplemental Relief Tax</t>
  </si>
  <si>
    <t>other exp</t>
  </si>
  <si>
    <t xml:space="preserve">Transfer in Reserves </t>
  </si>
  <si>
    <t>Use of Reserves</t>
  </si>
  <si>
    <t>Property Tax</t>
  </si>
  <si>
    <t>Grants</t>
  </si>
  <si>
    <t>Non Operating</t>
  </si>
  <si>
    <t>Revenue - Expenses</t>
  </si>
  <si>
    <t>Income statement</t>
  </si>
  <si>
    <t>2015 Projected Net Income</t>
  </si>
  <si>
    <t>2016 Projected Net Income</t>
  </si>
  <si>
    <t>FTEs</t>
  </si>
  <si>
    <t>Labor Exp as a % of Net Op Rev</t>
  </si>
  <si>
    <t>Including Budgeted Tax Revenues</t>
  </si>
  <si>
    <t>Net Operating Loss (w/o depr.)</t>
  </si>
  <si>
    <t>Net Operating Loss (w/depr.)</t>
  </si>
  <si>
    <t>Healthstream/Athena</t>
  </si>
  <si>
    <t>ALERA GROUP INSURANCE/Hardenbergh *CVO*</t>
  </si>
  <si>
    <t>Athena/Inovalon/Waystar Zirmed/Rivia Health/ HARDENBERGH (NCRED)</t>
  </si>
  <si>
    <t>Activity Connection "for calendar"</t>
  </si>
  <si>
    <t xml:space="preserve"> NCCAP </t>
  </si>
  <si>
    <t>NAAP / Serv Safe</t>
  </si>
  <si>
    <t>HSK</t>
  </si>
  <si>
    <t>SOC SERV</t>
  </si>
  <si>
    <t>PLANT OP</t>
  </si>
  <si>
    <t>BUS OFFICE</t>
  </si>
  <si>
    <t>ADMIN</t>
  </si>
  <si>
    <t>MED REC</t>
  </si>
  <si>
    <t>QA</t>
  </si>
  <si>
    <t>I/C</t>
  </si>
  <si>
    <t>NURSE AD</t>
  </si>
  <si>
    <t>Kingston</t>
  </si>
  <si>
    <t>TOTALS</t>
  </si>
  <si>
    <t>Software</t>
  </si>
  <si>
    <t>Depreciation</t>
  </si>
  <si>
    <t>***</t>
  </si>
  <si>
    <t>Ins/Malpract &amp; Facility</t>
  </si>
  <si>
    <t>Facility Licensing</t>
  </si>
  <si>
    <t>Self Admin Health Ins</t>
  </si>
  <si>
    <t>PEBS Ins (State Retirees)</t>
  </si>
  <si>
    <t>Total Patient Net Revenue</t>
  </si>
  <si>
    <t>Total Other Operating Revenue</t>
  </si>
  <si>
    <t xml:space="preserve">Total Expenses - </t>
  </si>
  <si>
    <t>(Loss) from Operations</t>
  </si>
  <si>
    <t xml:space="preserve">Non-Op Revenue - </t>
  </si>
  <si>
    <t>Revenue/Expenses</t>
  </si>
  <si>
    <t>CNTRL SUPPLY</t>
  </si>
  <si>
    <t>LAB</t>
  </si>
  <si>
    <t>PT</t>
  </si>
  <si>
    <t>OBS</t>
  </si>
  <si>
    <t>R/T</t>
  </si>
  <si>
    <t>PROFEES</t>
  </si>
  <si>
    <t>Less :Contractual Allowance</t>
  </si>
  <si>
    <r>
      <t xml:space="preserve">The </t>
    </r>
    <r>
      <rPr>
        <b/>
        <sz val="11"/>
        <color theme="1"/>
        <rFont val="Calibri"/>
        <family val="2"/>
        <scheme val="minor"/>
      </rPr>
      <t>difference between what a healthcare provider bills</t>
    </r>
    <r>
      <rPr>
        <sz val="11"/>
        <color theme="1"/>
        <rFont val="Calibri"/>
        <family val="2"/>
        <scheme val="minor"/>
      </rPr>
      <t xml:space="preserve"> and what they are </t>
    </r>
    <r>
      <rPr>
        <b/>
        <sz val="11"/>
        <color theme="1"/>
        <rFont val="Calibri"/>
        <family val="2"/>
        <scheme val="minor"/>
      </rPr>
      <t>actually allowed to collect</t>
    </r>
    <r>
      <rPr>
        <sz val="11"/>
        <color theme="1"/>
        <rFont val="Calibri"/>
        <family val="2"/>
        <scheme val="minor"/>
      </rPr>
      <t xml:space="preserve"> under contracts with insurers.</t>
    </r>
  </si>
  <si>
    <t>Less : Bad Debt</t>
  </si>
  <si>
    <t>Bad debt = money you expected to collect but didn’t</t>
  </si>
  <si>
    <t xml:space="preserve">Other Op Revenue includes: </t>
  </si>
  <si>
    <t>Health Fair</t>
  </si>
  <si>
    <t xml:space="preserve">NON -Other Op Revenue includes: </t>
  </si>
  <si>
    <t>Rebates and Refunds</t>
  </si>
  <si>
    <t>Advalorem</t>
  </si>
  <si>
    <t>Medical Records Sales</t>
  </si>
  <si>
    <t>CTX</t>
  </si>
  <si>
    <t>Interest on Pt Accounts</t>
  </si>
  <si>
    <t>JPHSC Rental</t>
  </si>
  <si>
    <t>340 B</t>
  </si>
  <si>
    <t>Incentive Income</t>
  </si>
  <si>
    <t xml:space="preserve">NON -Other Op Expenses includes: </t>
  </si>
  <si>
    <t>Athena Training</t>
  </si>
  <si>
    <t>Employee Meals</t>
  </si>
  <si>
    <t>Chargemaster Review</t>
  </si>
  <si>
    <t>Nurse App/ Healthy Thursday</t>
  </si>
  <si>
    <t>Othe expenses</t>
  </si>
  <si>
    <t>SUBJECT TO CHANGE</t>
  </si>
  <si>
    <t>Depreciation disposal</t>
  </si>
  <si>
    <t>Health insurance expense</t>
  </si>
  <si>
    <t>Night Shift dirrential</t>
  </si>
  <si>
    <t>Actual CTX &amp; Advalorem</t>
  </si>
  <si>
    <t>Mag mutual</t>
  </si>
  <si>
    <t>Contractual Adjustments/Bad debt</t>
  </si>
  <si>
    <t>CAPEX Depreciation</t>
  </si>
  <si>
    <t>Others waiting some qoutes</t>
  </si>
  <si>
    <t>Total Patient Revenue</t>
  </si>
  <si>
    <t>Total Allowances</t>
  </si>
  <si>
    <t xml:space="preserve">Total Revenue </t>
  </si>
  <si>
    <t>Total Operating Expenses w/o depr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</si>
</sst>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#,##0.000000000000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orbel"/>
      <family val="2"/>
    </font>
    <font>
      <b/>
      <sz val="24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2"/>
      <color theme="0"/>
      <name val="Arial Narrow"/>
      <family val="2"/>
    </font>
    <font>
      <b/>
      <sz val="18"/>
      <color theme="0"/>
      <name val="Calibri"/>
      <family val="2"/>
      <scheme val="minor"/>
    </font>
    <font>
      <sz val="10"/>
      <color rgb="FF333333"/>
      <name val="Arial"/>
      <family val="2"/>
    </font>
    <font>
      <b/>
      <sz val="10"/>
      <name val="Arial"/>
      <family val="2"/>
    </font>
    <font>
      <b/>
      <sz val="20"/>
      <color theme="1"/>
      <name val="Corbel"/>
      <family val="2"/>
    </font>
    <font>
      <sz val="10"/>
      <name val="Arial"/>
      <family val="2"/>
    </font>
    <font>
      <b/>
      <sz val="20"/>
      <color theme="0"/>
      <name val="Arial Narrow"/>
      <family val="2"/>
    </font>
    <font>
      <b/>
      <sz val="14"/>
      <color theme="0"/>
      <name val="Arial Narrow"/>
      <family val="2"/>
    </font>
    <font>
      <sz val="14"/>
      <name val="Arial"/>
      <family val="2"/>
    </font>
    <font>
      <sz val="11"/>
      <name val="Arial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4" tint="-0.249977111117893"/>
      <name val="Arial"/>
      <family val="2"/>
    </font>
    <font>
      <sz val="11"/>
      <color theme="4" tint="-0.499984740745262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 tint="0.14999847407452621"/>
      <name val="Calibri"/>
      <family val="1"/>
      <scheme val="minor"/>
    </font>
    <font>
      <sz val="12"/>
      <color theme="1"/>
      <name val="Arial Narrow"/>
      <family val="2"/>
    </font>
    <font>
      <b/>
      <sz val="12"/>
      <color theme="0"/>
      <name val="Corbe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rbel"/>
      <family val="2"/>
    </font>
    <font>
      <b/>
      <sz val="11"/>
      <color theme="1"/>
      <name val="Corbel"/>
      <family val="2"/>
    </font>
  </fonts>
  <fills count="2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/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79995117038483843"/>
      </left>
      <right style="thin">
        <color theme="4" tint="0.79995117038483843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511703848384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81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12" fillId="4" borderId="2" xfId="0" applyFont="1" applyFill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4" borderId="4" xfId="0" applyFont="1" applyFill="1" applyBorder="1"/>
    <xf numFmtId="4" fontId="11" fillId="4" borderId="6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/>
    <xf numFmtId="4" fontId="11" fillId="4" borderId="12" xfId="0" applyNumberFormat="1" applyFont="1" applyFill="1" applyBorder="1" applyAlignment="1">
      <alignment horizontal="center" vertical="center"/>
    </xf>
    <xf numFmtId="0" fontId="1" fillId="3" borderId="3" xfId="3" applyBorder="1" applyAlignment="1">
      <alignment horizontal="left" vertical="center" indent="2"/>
    </xf>
    <xf numFmtId="43" fontId="1" fillId="3" borderId="3" xfId="1" applyFill="1" applyBorder="1" applyAlignment="1">
      <alignment horizontal="center" vertical="center"/>
    </xf>
    <xf numFmtId="0" fontId="1" fillId="3" borderId="14" xfId="3" applyBorder="1" applyAlignment="1">
      <alignment horizontal="left" vertical="center" indent="2"/>
    </xf>
    <xf numFmtId="43" fontId="1" fillId="3" borderId="14" xfId="1" applyFill="1" applyBorder="1" applyAlignment="1">
      <alignment horizontal="center" vertical="center"/>
    </xf>
    <xf numFmtId="0" fontId="3" fillId="3" borderId="13" xfId="3" applyFont="1" applyBorder="1"/>
    <xf numFmtId="43" fontId="3" fillId="3" borderId="13" xfId="1" applyFont="1" applyFill="1" applyBorder="1" applyAlignment="1">
      <alignment horizontal="center" vertical="center"/>
    </xf>
    <xf numFmtId="0" fontId="1" fillId="3" borderId="15" xfId="3" applyBorder="1" applyAlignment="1">
      <alignment horizontal="left" vertical="center" indent="2"/>
    </xf>
    <xf numFmtId="43" fontId="1" fillId="3" borderId="15" xfId="1" applyFill="1" applyBorder="1" applyAlignment="1">
      <alignment horizontal="center" vertical="center"/>
    </xf>
    <xf numFmtId="0" fontId="3" fillId="3" borderId="16" xfId="3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1" fillId="3" borderId="19" xfId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/>
    <xf numFmtId="4" fontId="18" fillId="4" borderId="6" xfId="0" applyNumberFormat="1" applyFont="1" applyFill="1" applyBorder="1" applyAlignment="1">
      <alignment horizontal="right" vertical="center"/>
    </xf>
    <xf numFmtId="43" fontId="16" fillId="0" borderId="0" xfId="1" applyFont="1"/>
    <xf numFmtId="43" fontId="0" fillId="0" borderId="0" xfId="1" applyFont="1"/>
    <xf numFmtId="43" fontId="0" fillId="3" borderId="14" xfId="1" applyFont="1" applyFill="1" applyBorder="1" applyAlignment="1">
      <alignment horizontal="center" vertical="center"/>
    </xf>
    <xf numFmtId="43" fontId="3" fillId="0" borderId="0" xfId="1" applyFont="1"/>
    <xf numFmtId="43" fontId="1" fillId="3" borderId="5" xfId="1" applyFill="1" applyBorder="1" applyAlignment="1">
      <alignment horizontal="center" vertical="center"/>
    </xf>
    <xf numFmtId="43" fontId="1" fillId="3" borderId="20" xfId="1" applyFill="1" applyBorder="1" applyAlignment="1">
      <alignment horizontal="center" vertical="center"/>
    </xf>
    <xf numFmtId="0" fontId="3" fillId="3" borderId="4" xfId="3" applyFont="1" applyBorder="1" applyAlignment="1">
      <alignment horizontal="left" vertical="center" indent="2"/>
    </xf>
    <xf numFmtId="0" fontId="3" fillId="3" borderId="10" xfId="3" applyFont="1" applyBorder="1" applyAlignment="1">
      <alignment horizontal="left" vertical="center" indent="2"/>
    </xf>
    <xf numFmtId="43" fontId="1" fillId="3" borderId="11" xfId="1" applyFill="1" applyBorder="1" applyAlignment="1">
      <alignment horizontal="center" vertical="center"/>
    </xf>
    <xf numFmtId="4" fontId="16" fillId="0" borderId="0" xfId="0" applyNumberFormat="1" applyFont="1"/>
    <xf numFmtId="0" fontId="16" fillId="0" borderId="0" xfId="0" applyFont="1"/>
    <xf numFmtId="0" fontId="12" fillId="4" borderId="0" xfId="0" applyFont="1" applyFill="1" applyAlignment="1">
      <alignment horizontal="center"/>
    </xf>
    <xf numFmtId="0" fontId="3" fillId="2" borderId="3" xfId="2" applyFont="1" applyBorder="1" applyAlignment="1">
      <alignment horizontal="left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0" borderId="0" xfId="0" applyFont="1"/>
    <xf numFmtId="0" fontId="11" fillId="7" borderId="4" xfId="0" applyFont="1" applyFill="1" applyBorder="1"/>
    <xf numFmtId="4" fontId="11" fillId="7" borderId="6" xfId="0" applyNumberFormat="1" applyFont="1" applyFill="1" applyBorder="1" applyAlignment="1">
      <alignment horizontal="center" vertical="center"/>
    </xf>
    <xf numFmtId="165" fontId="3" fillId="0" borderId="0" xfId="1" applyNumberFormat="1" applyFont="1"/>
    <xf numFmtId="0" fontId="3" fillId="3" borderId="21" xfId="3" applyFont="1" applyBorder="1"/>
    <xf numFmtId="43" fontId="3" fillId="3" borderId="22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0" fontId="0" fillId="3" borderId="3" xfId="3" applyFont="1" applyBorder="1" applyAlignment="1">
      <alignment horizontal="left" vertical="center" indent="2"/>
    </xf>
    <xf numFmtId="4" fontId="0" fillId="0" borderId="0" xfId="0" applyNumberFormat="1" applyAlignment="1">
      <alignment horizontal="center"/>
    </xf>
    <xf numFmtId="43" fontId="0" fillId="0" borderId="0" xfId="5" applyFont="1"/>
    <xf numFmtId="0" fontId="19" fillId="0" borderId="0" xfId="0" applyFont="1"/>
    <xf numFmtId="4" fontId="19" fillId="0" borderId="0" xfId="0" applyNumberFormat="1" applyFont="1"/>
    <xf numFmtId="4" fontId="19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43" fontId="16" fillId="0" borderId="0" xfId="5" applyFont="1"/>
    <xf numFmtId="0" fontId="19" fillId="5" borderId="0" xfId="0" applyFont="1" applyFill="1"/>
    <xf numFmtId="4" fontId="0" fillId="0" borderId="0" xfId="0" applyNumberFormat="1" applyAlignment="1">
      <alignment horizontal="center" vertical="center"/>
    </xf>
    <xf numFmtId="0" fontId="20" fillId="0" borderId="0" xfId="0" applyFont="1"/>
    <xf numFmtId="4" fontId="16" fillId="8" borderId="0" xfId="0" applyNumberFormat="1" applyFont="1" applyFill="1" applyAlignment="1">
      <alignment horizontal="center" vertical="center"/>
    </xf>
    <xf numFmtId="0" fontId="0" fillId="10" borderId="0" xfId="0" applyFill="1"/>
    <xf numFmtId="43" fontId="0" fillId="10" borderId="0" xfId="5" applyFont="1" applyFill="1"/>
    <xf numFmtId="4" fontId="0" fillId="8" borderId="0" xfId="0" applyNumberFormat="1" applyFill="1" applyAlignment="1">
      <alignment horizontal="center" vertical="center"/>
    </xf>
    <xf numFmtId="43" fontId="16" fillId="8" borderId="0" xfId="5" applyFont="1" applyFill="1" applyAlignment="1">
      <alignment horizontal="center" vertical="center"/>
    </xf>
    <xf numFmtId="0" fontId="0" fillId="11" borderId="0" xfId="0" applyFill="1"/>
    <xf numFmtId="43" fontId="0" fillId="11" borderId="0" xfId="5" applyFont="1" applyFill="1"/>
    <xf numFmtId="0" fontId="19" fillId="8" borderId="0" xfId="0" applyFont="1" applyFill="1"/>
    <xf numFmtId="4" fontId="0" fillId="8" borderId="0" xfId="0" applyNumberFormat="1" applyFill="1"/>
    <xf numFmtId="4" fontId="14" fillId="8" borderId="0" xfId="0" applyNumberFormat="1" applyFont="1" applyFill="1" applyAlignment="1">
      <alignment horizontal="center" vertical="center"/>
    </xf>
    <xf numFmtId="0" fontId="0" fillId="8" borderId="0" xfId="0" applyFill="1"/>
    <xf numFmtId="4" fontId="14" fillId="8" borderId="0" xfId="0" applyNumberFormat="1" applyFont="1" applyFill="1"/>
    <xf numFmtId="0" fontId="1" fillId="0" borderId="0" xfId="6"/>
    <xf numFmtId="0" fontId="1" fillId="0" borderId="0" xfId="6" applyAlignment="1">
      <alignment horizontal="center"/>
    </xf>
    <xf numFmtId="0" fontId="5" fillId="0" borderId="0" xfId="6" applyFont="1"/>
    <xf numFmtId="0" fontId="6" fillId="0" borderId="0" xfId="6" applyFont="1"/>
    <xf numFmtId="0" fontId="7" fillId="0" borderId="0" xfId="6" applyFont="1"/>
    <xf numFmtId="0" fontId="21" fillId="12" borderId="0" xfId="6" applyFont="1" applyFill="1"/>
    <xf numFmtId="0" fontId="22" fillId="0" borderId="0" xfId="6" applyFont="1"/>
    <xf numFmtId="0" fontId="21" fillId="12" borderId="0" xfId="6" applyFont="1" applyFill="1" applyAlignment="1">
      <alignment horizontal="center"/>
    </xf>
    <xf numFmtId="0" fontId="1" fillId="6" borderId="0" xfId="6" applyFill="1"/>
    <xf numFmtId="2" fontId="1" fillId="6" borderId="0" xfId="6" applyNumberFormat="1" applyFill="1"/>
    <xf numFmtId="2" fontId="1" fillId="0" borderId="0" xfId="6" applyNumberFormat="1"/>
    <xf numFmtId="2" fontId="1" fillId="0" borderId="1" xfId="6" applyNumberFormat="1" applyBorder="1"/>
    <xf numFmtId="2" fontId="3" fillId="0" borderId="0" xfId="6" applyNumberFormat="1" applyFont="1"/>
    <xf numFmtId="39" fontId="0" fillId="0" borderId="0" xfId="0" applyNumberFormat="1"/>
    <xf numFmtId="43" fontId="23" fillId="13" borderId="0" xfId="5" applyFont="1" applyFill="1"/>
    <xf numFmtId="3" fontId="0" fillId="0" borderId="0" xfId="7" applyNumberFormat="1" applyFont="1" applyFill="1" applyAlignment="1">
      <alignment horizontal="center"/>
    </xf>
    <xf numFmtId="43" fontId="16" fillId="0" borderId="0" xfId="5" applyFont="1" applyFill="1"/>
    <xf numFmtId="14" fontId="16" fillId="0" borderId="0" xfId="7" applyNumberFormat="1" applyFont="1" applyFill="1" applyAlignment="1">
      <alignment horizontal="center"/>
    </xf>
    <xf numFmtId="4" fontId="16" fillId="0" borderId="0" xfId="7" applyNumberFormat="1" applyFont="1" applyFill="1" applyAlignment="1">
      <alignment horizontal="center"/>
    </xf>
    <xf numFmtId="43" fontId="0" fillId="0" borderId="0" xfId="5" applyFont="1" applyFill="1"/>
    <xf numFmtId="10" fontId="16" fillId="0" borderId="0" xfId="7" applyNumberFormat="1" applyFont="1" applyFill="1"/>
    <xf numFmtId="10" fontId="16" fillId="13" borderId="0" xfId="7" applyNumberFormat="1" applyFont="1" applyFill="1"/>
    <xf numFmtId="10" fontId="16" fillId="0" borderId="0" xfId="7" applyNumberFormat="1" applyFont="1" applyFill="1" applyAlignment="1">
      <alignment horizontal="center"/>
    </xf>
    <xf numFmtId="3" fontId="0" fillId="0" borderId="0" xfId="5" applyNumberFormat="1" applyFont="1" applyFill="1"/>
    <xf numFmtId="165" fontId="14" fillId="0" borderId="25" xfId="5" applyNumberFormat="1" applyFont="1" applyFill="1" applyBorder="1" applyAlignment="1">
      <alignment horizontal="right"/>
    </xf>
    <xf numFmtId="3" fontId="25" fillId="0" borderId="0" xfId="5" applyNumberFormat="1" applyFont="1" applyFill="1"/>
    <xf numFmtId="165" fontId="0" fillId="0" borderId="0" xfId="5" applyNumberFormat="1" applyFont="1"/>
    <xf numFmtId="9" fontId="0" fillId="0" borderId="0" xfId="7" applyFont="1" applyFill="1"/>
    <xf numFmtId="10" fontId="0" fillId="0" borderId="0" xfId="7" applyNumberFormat="1" applyFont="1" applyFill="1" applyAlignment="1"/>
    <xf numFmtId="43" fontId="14" fillId="0" borderId="0" xfId="5" applyFont="1"/>
    <xf numFmtId="43" fontId="0" fillId="0" borderId="0" xfId="5" applyFont="1" applyFill="1" applyAlignment="1">
      <alignment horizontal="right"/>
    </xf>
    <xf numFmtId="43" fontId="0" fillId="0" borderId="5" xfId="5" applyFont="1" applyBorder="1"/>
    <xf numFmtId="3" fontId="16" fillId="0" borderId="0" xfId="5" applyNumberFormat="1" applyFont="1" applyFill="1"/>
    <xf numFmtId="3" fontId="0" fillId="0" borderId="0" xfId="5" quotePrefix="1" applyNumberFormat="1" applyFont="1" applyFill="1"/>
    <xf numFmtId="10" fontId="0" fillId="0" borderId="0" xfId="7" applyNumberFormat="1" applyFont="1"/>
    <xf numFmtId="167" fontId="0" fillId="0" borderId="0" xfId="7" quotePrefix="1" applyNumberFormat="1" applyFont="1" applyFill="1"/>
    <xf numFmtId="43" fontId="23" fillId="9" borderId="0" xfId="5" applyFont="1" applyFill="1"/>
    <xf numFmtId="3" fontId="0" fillId="0" borderId="0" xfId="5" applyNumberFormat="1" applyFont="1" applyFill="1" applyBorder="1"/>
    <xf numFmtId="3" fontId="16" fillId="0" borderId="0" xfId="5" applyNumberFormat="1" applyFont="1" applyFill="1" applyBorder="1"/>
    <xf numFmtId="43" fontId="0" fillId="9" borderId="0" xfId="5" applyFont="1" applyFill="1"/>
    <xf numFmtId="167" fontId="16" fillId="0" borderId="0" xfId="7" applyNumberFormat="1" applyFont="1" applyFill="1"/>
    <xf numFmtId="43" fontId="26" fillId="13" borderId="0" xfId="5" applyFont="1" applyFill="1"/>
    <xf numFmtId="43" fontId="14" fillId="0" borderId="0" xfId="5" applyFont="1" applyFill="1"/>
    <xf numFmtId="43" fontId="0" fillId="0" borderId="0" xfId="5" applyFont="1" applyFill="1" applyBorder="1"/>
    <xf numFmtId="167" fontId="16" fillId="14" borderId="0" xfId="7" applyNumberFormat="1" applyFont="1" applyFill="1"/>
    <xf numFmtId="167" fontId="0" fillId="0" borderId="0" xfId="7" applyNumberFormat="1" applyFont="1"/>
    <xf numFmtId="167" fontId="16" fillId="13" borderId="0" xfId="7" applyNumberFormat="1" applyFont="1" applyFill="1"/>
    <xf numFmtId="0" fontId="1" fillId="3" borderId="28" xfId="3" applyBorder="1" applyAlignment="1">
      <alignment horizontal="left" vertical="center" indent="2"/>
    </xf>
    <xf numFmtId="43" fontId="1" fillId="3" borderId="29" xfId="1" applyFill="1" applyBorder="1" applyAlignment="1">
      <alignment horizontal="center" vertical="center"/>
    </xf>
    <xf numFmtId="0" fontId="6" fillId="0" borderId="0" xfId="0" applyFont="1"/>
    <xf numFmtId="4" fontId="5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0" fontId="27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9" fillId="5" borderId="0" xfId="0" applyFont="1" applyFill="1"/>
    <xf numFmtId="4" fontId="28" fillId="5" borderId="30" xfId="0" applyNumberFormat="1" applyFont="1" applyFill="1" applyBorder="1" applyAlignment="1">
      <alignment horizontal="right"/>
    </xf>
    <xf numFmtId="4" fontId="28" fillId="5" borderId="31" xfId="0" applyNumberFormat="1" applyFont="1" applyFill="1" applyBorder="1" applyAlignment="1">
      <alignment horizontal="right"/>
    </xf>
    <xf numFmtId="4" fontId="28" fillId="5" borderId="2" xfId="0" applyNumberFormat="1" applyFont="1" applyFill="1" applyBorder="1" applyAlignment="1">
      <alignment horizontal="right"/>
    </xf>
    <xf numFmtId="4" fontId="28" fillId="4" borderId="31" xfId="0" applyNumberFormat="1" applyFont="1" applyFill="1" applyBorder="1" applyAlignment="1">
      <alignment horizontal="right"/>
    </xf>
    <xf numFmtId="0" fontId="29" fillId="15" borderId="0" xfId="0" applyFont="1" applyFill="1" applyAlignment="1">
      <alignment horizontal="left" vertical="center" indent="2"/>
    </xf>
    <xf numFmtId="4" fontId="30" fillId="6" borderId="30" xfId="0" applyNumberFormat="1" applyFont="1" applyFill="1" applyBorder="1" applyAlignment="1">
      <alignment horizontal="right"/>
    </xf>
    <xf numFmtId="4" fontId="30" fillId="6" borderId="31" xfId="0" applyNumberFormat="1" applyFont="1" applyFill="1" applyBorder="1" applyAlignment="1">
      <alignment horizontal="right"/>
    </xf>
    <xf numFmtId="4" fontId="30" fillId="6" borderId="2" xfId="0" applyNumberFormat="1" applyFont="1" applyFill="1" applyBorder="1" applyAlignment="1">
      <alignment horizontal="right"/>
    </xf>
    <xf numFmtId="3" fontId="30" fillId="6" borderId="31" xfId="0" applyNumberFormat="1" applyFont="1" applyFill="1" applyBorder="1" applyAlignment="1">
      <alignment horizontal="right"/>
    </xf>
    <xf numFmtId="4" fontId="30" fillId="4" borderId="31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vertical="center" indent="2"/>
    </xf>
    <xf numFmtId="4" fontId="30" fillId="0" borderId="30" xfId="0" applyNumberFormat="1" applyFont="1" applyBorder="1" applyAlignment="1">
      <alignment horizontal="right"/>
    </xf>
    <xf numFmtId="4" fontId="30" fillId="0" borderId="31" xfId="0" applyNumberFormat="1" applyFont="1" applyBorder="1" applyAlignment="1">
      <alignment horizontal="right"/>
    </xf>
    <xf numFmtId="4" fontId="30" fillId="0" borderId="2" xfId="0" applyNumberFormat="1" applyFont="1" applyBorder="1" applyAlignment="1">
      <alignment horizontal="right"/>
    </xf>
    <xf numFmtId="3" fontId="30" fillId="0" borderId="31" xfId="0" applyNumberFormat="1" applyFont="1" applyBorder="1" applyAlignment="1">
      <alignment horizontal="right"/>
    </xf>
    <xf numFmtId="0" fontId="29" fillId="16" borderId="0" xfId="0" applyFont="1" applyFill="1" applyAlignment="1">
      <alignment horizontal="left" vertical="center" indent="2"/>
    </xf>
    <xf numFmtId="3" fontId="30" fillId="16" borderId="30" xfId="0" applyNumberFormat="1" applyFont="1" applyFill="1" applyBorder="1" applyAlignment="1">
      <alignment horizontal="right"/>
    </xf>
    <xf numFmtId="3" fontId="30" fillId="16" borderId="31" xfId="0" applyNumberFormat="1" applyFont="1" applyFill="1" applyBorder="1" applyAlignment="1">
      <alignment horizontal="right"/>
    </xf>
    <xf numFmtId="3" fontId="30" fillId="16" borderId="2" xfId="0" applyNumberFormat="1" applyFont="1" applyFill="1" applyBorder="1" applyAlignment="1">
      <alignment horizontal="right"/>
    </xf>
    <xf numFmtId="4" fontId="30" fillId="16" borderId="2" xfId="0" applyNumberFormat="1" applyFont="1" applyFill="1" applyBorder="1" applyAlignment="1">
      <alignment horizontal="right"/>
    </xf>
    <xf numFmtId="3" fontId="30" fillId="0" borderId="30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1" fontId="30" fillId="0" borderId="2" xfId="0" applyNumberFormat="1" applyFont="1" applyBorder="1" applyAlignment="1">
      <alignment horizontal="right"/>
    </xf>
    <xf numFmtId="4" fontId="30" fillId="16" borderId="30" xfId="0" applyNumberFormat="1" applyFont="1" applyFill="1" applyBorder="1" applyAlignment="1">
      <alignment horizontal="right"/>
    </xf>
    <xf numFmtId="1" fontId="30" fillId="16" borderId="2" xfId="0" applyNumberFormat="1" applyFont="1" applyFill="1" applyBorder="1" applyAlignment="1">
      <alignment horizontal="right"/>
    </xf>
    <xf numFmtId="4" fontId="30" fillId="4" borderId="32" xfId="0" applyNumberFormat="1" applyFont="1" applyFill="1" applyBorder="1" applyAlignment="1">
      <alignment horizontal="right"/>
    </xf>
    <xf numFmtId="4" fontId="30" fillId="4" borderId="0" xfId="0" applyNumberFormat="1" applyFont="1" applyFill="1" applyAlignment="1">
      <alignment horizontal="right"/>
    </xf>
    <xf numFmtId="4" fontId="30" fillId="16" borderId="31" xfId="0" applyNumberFormat="1" applyFont="1" applyFill="1" applyBorder="1" applyAlignment="1">
      <alignment horizontal="right"/>
    </xf>
    <xf numFmtId="4" fontId="30" fillId="10" borderId="2" xfId="0" applyNumberFormat="1" applyFont="1" applyFill="1" applyBorder="1" applyAlignment="1">
      <alignment horizontal="right"/>
    </xf>
    <xf numFmtId="4" fontId="28" fillId="17" borderId="2" xfId="0" applyNumberFormat="1" applyFont="1" applyFill="1" applyBorder="1" applyAlignment="1">
      <alignment horizontal="right"/>
    </xf>
    <xf numFmtId="0" fontId="31" fillId="4" borderId="0" xfId="0" applyFont="1" applyFill="1"/>
    <xf numFmtId="4" fontId="11" fillId="4" borderId="2" xfId="0" applyNumberFormat="1" applyFont="1" applyFill="1" applyBorder="1" applyAlignment="1">
      <alignment horizontal="right"/>
    </xf>
    <xf numFmtId="0" fontId="31" fillId="7" borderId="0" xfId="0" applyFont="1" applyFill="1"/>
    <xf numFmtId="4" fontId="11" fillId="7" borderId="2" xfId="0" applyNumberFormat="1" applyFont="1" applyFill="1" applyBorder="1" applyAlignment="1">
      <alignment horizontal="right"/>
    </xf>
    <xf numFmtId="0" fontId="31" fillId="18" borderId="2" xfId="0" applyFont="1" applyFill="1" applyBorder="1"/>
    <xf numFmtId="4" fontId="11" fillId="18" borderId="2" xfId="0" applyNumberFormat="1" applyFont="1" applyFill="1" applyBorder="1" applyAlignment="1">
      <alignment horizontal="center"/>
    </xf>
    <xf numFmtId="4" fontId="11" fillId="18" borderId="2" xfId="0" applyNumberFormat="1" applyFont="1" applyFill="1" applyBorder="1"/>
    <xf numFmtId="4" fontId="11" fillId="4" borderId="2" xfId="0" applyNumberFormat="1" applyFont="1" applyFill="1" applyBorder="1"/>
    <xf numFmtId="4" fontId="11" fillId="19" borderId="2" xfId="0" applyNumberFormat="1" applyFont="1" applyFill="1" applyBorder="1"/>
    <xf numFmtId="0" fontId="31" fillId="7" borderId="2" xfId="0" applyFont="1" applyFill="1" applyBorder="1"/>
    <xf numFmtId="4" fontId="11" fillId="7" borderId="2" xfId="0" applyNumberFormat="1" applyFont="1" applyFill="1" applyBorder="1" applyAlignment="1">
      <alignment horizontal="center"/>
    </xf>
    <xf numFmtId="4" fontId="11" fillId="7" borderId="2" xfId="0" applyNumberFormat="1" applyFont="1" applyFill="1" applyBorder="1"/>
    <xf numFmtId="4" fontId="11" fillId="20" borderId="2" xfId="0" applyNumberFormat="1" applyFont="1" applyFill="1" applyBorder="1"/>
    <xf numFmtId="0" fontId="31" fillId="20" borderId="2" xfId="0" applyFont="1" applyFill="1" applyBorder="1"/>
    <xf numFmtId="4" fontId="11" fillId="20" borderId="2" xfId="0" applyNumberFormat="1" applyFont="1" applyFill="1" applyBorder="1" applyAlignment="1">
      <alignment horizontal="center"/>
    </xf>
    <xf numFmtId="0" fontId="10" fillId="4" borderId="2" xfId="0" applyFont="1" applyFill="1" applyBorder="1"/>
    <xf numFmtId="4" fontId="30" fillId="4" borderId="2" xfId="0" applyNumberFormat="1" applyFont="1" applyFill="1" applyBorder="1" applyAlignment="1">
      <alignment horizontal="center"/>
    </xf>
    <xf numFmtId="4" fontId="30" fillId="4" borderId="2" xfId="0" applyNumberFormat="1" applyFont="1" applyFill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0" fontId="0" fillId="0" borderId="1" xfId="0" applyBorder="1"/>
    <xf numFmtId="39" fontId="0" fillId="0" borderId="1" xfId="0" applyNumberFormat="1" applyBorder="1"/>
    <xf numFmtId="0" fontId="32" fillId="0" borderId="0" xfId="0" applyFont="1"/>
    <xf numFmtId="39" fontId="32" fillId="0" borderId="0" xfId="0" applyNumberFormat="1" applyFont="1"/>
    <xf numFmtId="0" fontId="3" fillId="0" borderId="25" xfId="0" applyFont="1" applyBorder="1"/>
    <xf numFmtId="37" fontId="3" fillId="0" borderId="25" xfId="0" applyNumberFormat="1" applyFont="1" applyBorder="1"/>
    <xf numFmtId="0" fontId="3" fillId="0" borderId="1" xfId="0" applyFont="1" applyBorder="1"/>
    <xf numFmtId="37" fontId="7" fillId="0" borderId="1" xfId="0" applyNumberFormat="1" applyFont="1" applyBorder="1"/>
    <xf numFmtId="4" fontId="28" fillId="4" borderId="2" xfId="0" applyNumberFormat="1" applyFont="1" applyFill="1" applyBorder="1" applyAlignment="1">
      <alignment horizontal="right"/>
    </xf>
    <xf numFmtId="0" fontId="10" fillId="21" borderId="0" xfId="0" applyFont="1" applyFill="1"/>
    <xf numFmtId="4" fontId="30" fillId="21" borderId="2" xfId="0" applyNumberFormat="1" applyFont="1" applyFill="1" applyBorder="1" applyAlignment="1">
      <alignment horizontal="right"/>
    </xf>
    <xf numFmtId="4" fontId="30" fillId="4" borderId="2" xfId="0" applyNumberFormat="1" applyFont="1" applyFill="1" applyBorder="1" applyAlignment="1">
      <alignment horizontal="right"/>
    </xf>
    <xf numFmtId="4" fontId="30" fillId="4" borderId="30" xfId="0" applyNumberFormat="1" applyFont="1" applyFill="1" applyBorder="1" applyAlignment="1">
      <alignment horizontal="right"/>
    </xf>
    <xf numFmtId="43" fontId="30" fillId="0" borderId="2" xfId="1" applyFont="1" applyBorder="1" applyAlignment="1">
      <alignment horizontal="right"/>
    </xf>
    <xf numFmtId="2" fontId="30" fillId="0" borderId="2" xfId="0" applyNumberFormat="1" applyFont="1" applyBorder="1" applyAlignment="1">
      <alignment horizontal="right"/>
    </xf>
    <xf numFmtId="2" fontId="30" fillId="16" borderId="30" xfId="0" applyNumberFormat="1" applyFont="1" applyFill="1" applyBorder="1" applyAlignment="1">
      <alignment horizontal="right"/>
    </xf>
    <xf numFmtId="2" fontId="30" fillId="16" borderId="2" xfId="0" applyNumberFormat="1" applyFont="1" applyFill="1" applyBorder="1" applyAlignment="1">
      <alignment horizontal="right"/>
    </xf>
    <xf numFmtId="0" fontId="31" fillId="12" borderId="0" xfId="0" applyFont="1" applyFill="1"/>
    <xf numFmtId="4" fontId="11" fillId="12" borderId="2" xfId="0" applyNumberFormat="1" applyFont="1" applyFill="1" applyBorder="1" applyAlignment="1">
      <alignment horizontal="right"/>
    </xf>
    <xf numFmtId="4" fontId="11" fillId="19" borderId="2" xfId="0" applyNumberFormat="1" applyFont="1" applyFill="1" applyBorder="1" applyAlignment="1">
      <alignment horizontal="right"/>
    </xf>
    <xf numFmtId="4" fontId="30" fillId="0" borderId="0" xfId="0" applyNumberFormat="1" applyFont="1" applyAlignment="1">
      <alignment horizontal="center"/>
    </xf>
    <xf numFmtId="4" fontId="30" fillId="0" borderId="0" xfId="0" applyNumberFormat="1" applyFont="1"/>
    <xf numFmtId="0" fontId="33" fillId="0" borderId="33" xfId="0" applyFont="1" applyBorder="1"/>
    <xf numFmtId="4" fontId="10" fillId="0" borderId="34" xfId="0" applyNumberFormat="1" applyFont="1" applyBorder="1" applyAlignment="1">
      <alignment horizontal="center"/>
    </xf>
    <xf numFmtId="4" fontId="10" fillId="0" borderId="34" xfId="0" applyNumberFormat="1" applyFont="1" applyBorder="1"/>
    <xf numFmtId="4" fontId="10" fillId="0" borderId="35" xfId="0" applyNumberFormat="1" applyFont="1" applyBorder="1"/>
    <xf numFmtId="0" fontId="10" fillId="0" borderId="36" xfId="0" applyFont="1" applyBorder="1"/>
    <xf numFmtId="4" fontId="10" fillId="0" borderId="37" xfId="0" applyNumberFormat="1" applyFont="1" applyBorder="1"/>
    <xf numFmtId="4" fontId="10" fillId="0" borderId="36" xfId="0" applyNumberFormat="1" applyFont="1" applyBorder="1"/>
    <xf numFmtId="4" fontId="34" fillId="0" borderId="37" xfId="0" applyNumberFormat="1" applyFont="1" applyBorder="1"/>
    <xf numFmtId="0" fontId="33" fillId="0" borderId="36" xfId="0" applyFont="1" applyBorder="1"/>
    <xf numFmtId="0" fontId="10" fillId="0" borderId="10" xfId="0" applyFont="1" applyBorder="1"/>
    <xf numFmtId="4" fontId="10" fillId="0" borderId="11" xfId="0" applyNumberFormat="1" applyFont="1" applyBorder="1" applyAlignment="1">
      <alignment horizontal="center"/>
    </xf>
    <xf numFmtId="4" fontId="10" fillId="0" borderId="11" xfId="0" applyNumberFormat="1" applyFont="1" applyBorder="1"/>
    <xf numFmtId="4" fontId="9" fillId="0" borderId="11" xfId="0" applyNumberFormat="1" applyFont="1" applyBorder="1"/>
    <xf numFmtId="4" fontId="34" fillId="0" borderId="11" xfId="0" applyNumberFormat="1" applyFont="1" applyBorder="1"/>
    <xf numFmtId="4" fontId="9" fillId="0" borderId="38" xfId="0" applyNumberFormat="1" applyFont="1" applyBorder="1"/>
    <xf numFmtId="4" fontId="34" fillId="0" borderId="36" xfId="0" applyNumberFormat="1" applyFont="1" applyBorder="1"/>
    <xf numFmtId="4" fontId="34" fillId="0" borderId="0" xfId="0" applyNumberFormat="1" applyFont="1"/>
    <xf numFmtId="4" fontId="34" fillId="0" borderId="4" xfId="0" applyNumberFormat="1" applyFont="1" applyBorder="1"/>
    <xf numFmtId="4" fontId="10" fillId="0" borderId="5" xfId="0" applyNumberFormat="1" applyFont="1" applyBorder="1"/>
    <xf numFmtId="4" fontId="34" fillId="0" borderId="20" xfId="0" applyNumberFormat="1" applyFont="1" applyBorder="1"/>
    <xf numFmtId="0" fontId="14" fillId="0" borderId="0" xfId="20" applyFont="1"/>
    <xf numFmtId="3" fontId="14" fillId="0" borderId="0" xfId="20" applyNumberFormat="1" applyFont="1"/>
    <xf numFmtId="37" fontId="14" fillId="0" borderId="0" xfId="20" applyNumberFormat="1" applyFont="1"/>
    <xf numFmtId="3" fontId="16" fillId="0" borderId="0" xfId="20" applyNumberFormat="1"/>
    <xf numFmtId="0" fontId="16" fillId="0" borderId="0" xfId="20"/>
    <xf numFmtId="4" fontId="16" fillId="0" borderId="0" xfId="20" applyNumberFormat="1"/>
    <xf numFmtId="37" fontId="16" fillId="0" borderId="0" xfId="20" applyNumberFormat="1"/>
    <xf numFmtId="3" fontId="14" fillId="0" borderId="0" xfId="20" applyNumberFormat="1" applyFont="1" applyAlignment="1">
      <alignment horizontal="center"/>
    </xf>
    <xf numFmtId="0" fontId="16" fillId="0" borderId="0" xfId="20" applyAlignment="1">
      <alignment horizontal="center"/>
    </xf>
    <xf numFmtId="0" fontId="14" fillId="0" borderId="0" xfId="20" applyFont="1" applyAlignment="1">
      <alignment horizontal="center"/>
    </xf>
    <xf numFmtId="164" fontId="14" fillId="0" borderId="0" xfId="20" applyNumberFormat="1" applyFont="1" applyAlignment="1">
      <alignment horizontal="center"/>
    </xf>
    <xf numFmtId="3" fontId="16" fillId="0" borderId="0" xfId="20" applyNumberFormat="1" applyAlignment="1">
      <alignment horizontal="center"/>
    </xf>
    <xf numFmtId="3" fontId="16" fillId="0" borderId="0" xfId="20" applyNumberFormat="1" applyAlignment="1">
      <alignment horizontal="right"/>
    </xf>
    <xf numFmtId="10" fontId="16" fillId="0" borderId="0" xfId="20" applyNumberFormat="1" applyAlignment="1">
      <alignment horizontal="right"/>
    </xf>
    <xf numFmtId="39" fontId="16" fillId="0" borderId="0" xfId="20" applyNumberFormat="1"/>
    <xf numFmtId="14" fontId="16" fillId="0" borderId="0" xfId="20" applyNumberFormat="1"/>
    <xf numFmtId="3" fontId="14" fillId="0" borderId="24" xfId="20" applyNumberFormat="1" applyFont="1" applyBorder="1"/>
    <xf numFmtId="3" fontId="16" fillId="0" borderId="1" xfId="20" applyNumberFormat="1" applyBorder="1"/>
    <xf numFmtId="9" fontId="16" fillId="0" borderId="0" xfId="7" applyFont="1" applyFill="1" applyAlignment="1">
      <alignment horizontal="center"/>
    </xf>
    <xf numFmtId="3" fontId="14" fillId="0" borderId="0" xfId="20" applyNumberFormat="1" applyFont="1" applyAlignment="1">
      <alignment horizontal="right"/>
    </xf>
    <xf numFmtId="3" fontId="14" fillId="0" borderId="25" xfId="20" applyNumberFormat="1" applyFont="1" applyBorder="1"/>
    <xf numFmtId="165" fontId="16" fillId="0" borderId="0" xfId="5" applyNumberFormat="1" applyFont="1" applyFill="1"/>
    <xf numFmtId="165" fontId="16" fillId="0" borderId="25" xfId="5" applyNumberFormat="1" applyFont="1" applyFill="1" applyBorder="1"/>
    <xf numFmtId="3" fontId="16" fillId="0" borderId="25" xfId="20" applyNumberFormat="1" applyBorder="1"/>
    <xf numFmtId="43" fontId="16" fillId="0" borderId="0" xfId="20" applyNumberFormat="1"/>
    <xf numFmtId="3" fontId="14" fillId="0" borderId="25" xfId="20" applyNumberFormat="1" applyFont="1" applyBorder="1" applyAlignment="1">
      <alignment horizontal="right"/>
    </xf>
    <xf numFmtId="3" fontId="24" fillId="0" borderId="25" xfId="20" applyNumberFormat="1" applyFont="1" applyBorder="1" applyAlignment="1">
      <alignment horizontal="right"/>
    </xf>
    <xf numFmtId="3" fontId="16" fillId="8" borderId="0" xfId="20" applyNumberFormat="1" applyFill="1" applyAlignment="1">
      <alignment horizontal="right"/>
    </xf>
    <xf numFmtId="166" fontId="16" fillId="0" borderId="0" xfId="20" applyNumberFormat="1"/>
    <xf numFmtId="4" fontId="16" fillId="0" borderId="4" xfId="20" applyNumberFormat="1" applyBorder="1"/>
    <xf numFmtId="43" fontId="16" fillId="0" borderId="20" xfId="20" applyNumberFormat="1" applyBorder="1"/>
    <xf numFmtId="14" fontId="16" fillId="0" borderId="0" xfId="20" applyNumberFormat="1" applyAlignment="1">
      <alignment horizontal="center"/>
    </xf>
    <xf numFmtId="3" fontId="16" fillId="8" borderId="0" xfId="20" applyNumberFormat="1" applyFill="1"/>
    <xf numFmtId="10" fontId="16" fillId="0" borderId="0" xfId="20" applyNumberFormat="1"/>
    <xf numFmtId="37" fontId="14" fillId="0" borderId="25" xfId="20" applyNumberFormat="1" applyFont="1" applyBorder="1"/>
    <xf numFmtId="37" fontId="14" fillId="0" borderId="26" xfId="20" applyNumberFormat="1" applyFont="1" applyBorder="1"/>
    <xf numFmtId="3" fontId="14" fillId="0" borderId="26" xfId="20" applyNumberFormat="1" applyFont="1" applyBorder="1"/>
    <xf numFmtId="3" fontId="14" fillId="0" borderId="27" xfId="20" applyNumberFormat="1" applyFont="1" applyBorder="1"/>
    <xf numFmtId="4" fontId="14" fillId="0" borderId="0" xfId="20" applyNumberFormat="1" applyFont="1"/>
    <xf numFmtId="0" fontId="16" fillId="14" borderId="0" xfId="20" applyFill="1"/>
    <xf numFmtId="0" fontId="16" fillId="13" borderId="0" xfId="20" applyFill="1"/>
    <xf numFmtId="0" fontId="25" fillId="0" borderId="0" xfId="20" applyFont="1"/>
    <xf numFmtId="37" fontId="25" fillId="0" borderId="0" xfId="20" applyNumberFormat="1" applyFont="1"/>
    <xf numFmtId="0" fontId="8" fillId="0" borderId="1" xfId="0" applyFont="1" applyBorder="1" applyAlignment="1">
      <alignment horizontal="center"/>
    </xf>
    <xf numFmtId="0" fontId="8" fillId="0" borderId="1" xfId="6" applyFont="1" applyBorder="1" applyAlignment="1">
      <alignment horizontal="center"/>
    </xf>
  </cellXfs>
  <cellStyles count="25">
    <cellStyle name="60% - Accent2" xfId="3" builtinId="36"/>
    <cellStyle name="Accent2" xfId="2" builtinId="33"/>
    <cellStyle name="Comma" xfId="1" builtinId="3"/>
    <cellStyle name="Comma [0] 2" xfId="19" xr:uid="{3D520D97-8D86-4463-BA42-589CAB72DCE6}"/>
    <cellStyle name="Comma 2" xfId="5" xr:uid="{CCBB61AD-92E3-4590-8BFD-5A0703C762CA}"/>
    <cellStyle name="Comma 2 2" xfId="21" xr:uid="{E518D1CA-C20C-441B-BB69-E111E14BF21A}"/>
    <cellStyle name="Comma 2 3" xfId="10" xr:uid="{781EB848-28A0-4A29-B7A4-458D0FCFE94D}"/>
    <cellStyle name="Comma 3" xfId="18" xr:uid="{3570F510-4900-4615-B17B-DCB02B7476DC}"/>
    <cellStyle name="Comma 4" xfId="23" xr:uid="{E74170A3-8A3F-4B9B-A45B-BBCB8E2EFA2B}"/>
    <cellStyle name="Currency [0] 2" xfId="17" xr:uid="{AFF59DE8-A21D-4271-871C-26F34139C5FC}"/>
    <cellStyle name="Currency 2" xfId="16" xr:uid="{48EE8C09-FFD0-4B8B-89B4-7D2D872F023E}"/>
    <cellStyle name="Currency 3" xfId="11" xr:uid="{EAF0FF7A-BC19-4E11-8F9E-30FBB723D534}"/>
    <cellStyle name="Currency 4" xfId="24" xr:uid="{11DEA70F-008F-462F-AC10-FD7C37932998}"/>
    <cellStyle name="Normal" xfId="0" builtinId="0"/>
    <cellStyle name="Normal 2" xfId="4" xr:uid="{0096E371-7ABA-4E18-86B7-1DA2FEC83596}"/>
    <cellStyle name="Normal 2 2" xfId="20" xr:uid="{0E01AF34-C368-4296-8834-F406AB42F341}"/>
    <cellStyle name="Normal 2 3" xfId="12" xr:uid="{4EB26EA0-DA5D-44C1-B75F-98EA4442AD93}"/>
    <cellStyle name="Normal 2 4" xfId="8" xr:uid="{D662500B-5ED2-4A57-A0B4-E1FCE7203E05}"/>
    <cellStyle name="Normal 3" xfId="6" xr:uid="{1BC9E221-4054-42FF-A435-011B5A505C3A}"/>
    <cellStyle name="Normal 4" xfId="14" xr:uid="{5E7F8E6E-1A5D-4EE3-A067-7609F48B0C3B}"/>
    <cellStyle name="Normal 5" xfId="9" xr:uid="{C7D36FBD-D6CA-403E-B176-62B8F54C84F4}"/>
    <cellStyle name="Percent 2" xfId="7" xr:uid="{56EA6DB5-5E59-4B51-9023-EAB3D49FCE36}"/>
    <cellStyle name="Percent 2 2" xfId="22" xr:uid="{606AA3E8-27A1-43EF-861D-ED591AC73A1C}"/>
    <cellStyle name="Percent 2 3" xfId="13" xr:uid="{58EAA1B9-DCA5-4272-8F95-5D0EA8D13360}"/>
    <cellStyle name="Percent 3" xfId="15" xr:uid="{CDBA364E-B201-4B0C-BAED-68541B07D6D9}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57151</xdr:rowOff>
    </xdr:from>
    <xdr:to>
      <xdr:col>1</xdr:col>
      <xdr:colOff>1590675</xdr:colOff>
      <xdr:row>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1E6B8A8-5FB9-4482-966E-82263DB439D6}"/>
            </a:ext>
          </a:extLst>
        </xdr:cNvPr>
        <xdr:cNvGrpSpPr>
          <a:grpSpLocks/>
        </xdr:cNvGrpSpPr>
      </xdr:nvGrpSpPr>
      <xdr:grpSpPr bwMode="auto">
        <a:xfrm>
          <a:off x="323850" y="57151"/>
          <a:ext cx="1428750" cy="971549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4244F4E-937D-543A-DE0C-A6443E6D81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458DA2B-6AEA-5857-6277-3D472CFE85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AD4EEF-D62C-4044-BA8D-CBCD80977A18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317843C-F003-8642-40FD-BE28C5186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C6EAFDD-509C-7CA0-6893-0171A8804C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6D76DFF-3743-4E88-8C00-B47BEE5B53C8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68E84F6-C624-62FE-0982-CC5213AE24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8EFD363-268C-9155-1F51-4484996C40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37A8C8-BF9D-4E4C-85F7-B066C5888397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4FDEBD8-B81B-934D-3E3E-6966F6F6EE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C36818A-4C2B-C126-9E8E-8FE6297BE2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CE03E03-5F39-488E-81CF-367B29523D71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FC7091D-1805-E788-8002-0F5CD38B15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E3AF0F2-D85C-B495-EBF7-A73D61C7F9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BE148D5-EF4A-4F99-8CBF-E061E2981C78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88C18AB-F50F-0DB1-6088-1E78DBD2D0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C9FF510-A29E-CDB8-3086-0F7D0552DF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334E8D6-B935-45F3-8FF8-493B26DBD886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FB498A6-9E1C-CFD7-92F7-DA75A86E2A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2D6B529-E989-3DAE-657E-B205E42C6C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636BA49-239E-480E-9D2D-C8811D8F1992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EC021DB-92EF-0C5D-02ED-E8DF002A79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8269425-BF4C-C4EC-FA45-B1C86AEEB7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00AA1B3-B7C7-4086-A74E-30639289A124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5CD0A83-8C37-18AF-2A03-E60F1CBB7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5B41946-CB20-7AB9-FE11-233FD16B2A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C8BE3B-30B7-42B0-AA7B-B8144B45F284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750DC8E-5997-942E-EA76-81F7BFB03C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B12747A-34AF-ACDB-CE29-C3082D16AC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76FC2A3-4CBB-42C8-B323-157E499C98E1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8F7F425-0784-E65A-75A2-55DA28B4E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B72B758-2DDF-6138-1C9E-F7AB4FEE1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9525</xdr:rowOff>
    </xdr:from>
    <xdr:to>
      <xdr:col>1</xdr:col>
      <xdr:colOff>1568734</xdr:colOff>
      <xdr:row>8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131909-42C7-4CF2-BC93-F0EA0110276F}"/>
            </a:ext>
          </a:extLst>
        </xdr:cNvPr>
        <xdr:cNvGrpSpPr>
          <a:grpSpLocks/>
        </xdr:cNvGrpSpPr>
      </xdr:nvGrpSpPr>
      <xdr:grpSpPr bwMode="auto">
        <a:xfrm>
          <a:off x="95250" y="200025"/>
          <a:ext cx="1473484" cy="1600201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AD5210-8961-60F6-35B4-F9DF9D565D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ADA5678-22AE-1934-0FC5-B653F3A0C9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51F1C36-F160-4471-9EC1-1C49D9FBFFE6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74EB3A1-0DD3-4BB6-1A98-61A62276A8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8F0A61F-23C2-216E-DEC3-2A7D0BE1D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7CD258-B67D-4F8D-A682-DCAEE9F1DA0E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BC08E7E-FEAD-0C3B-F557-BC397A4F0B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F4D1B07-294B-E8DF-92A2-3FEB8D4429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1BF294C-F1E0-4FD2-9A77-9F12F8862A36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20FE378-3B13-F707-1B43-8AFBD8A558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8423657-3B51-D2D6-3765-B1DB75597A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79CDB6D-87E9-4829-B79F-D65C1AF55557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BF12EF7-5087-C1ED-6D4F-D055F14043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5060E7-19CD-1AA4-76D6-B1C92F6AB3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52BA233-B6FB-49E6-BE75-67031365EBC5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3B3E363-A3EB-9F09-2DA9-077D6917DC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E415C68-247E-B9CC-B6DA-49867BA127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D28135-BD75-4E5C-A6F2-30B13DE257DD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2762270-2392-CD99-8E9C-155E9ABF99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B647F74-92F9-FD7C-022C-04FF4A913C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2E2E9D3-8459-4CFA-B91D-3999093017D4}"/>
            </a:ext>
          </a:extLst>
        </xdr:cNvPr>
        <xdr:cNvGrpSpPr>
          <a:grpSpLocks/>
        </xdr:cNvGrpSpPr>
      </xdr:nvGrpSpPr>
      <xdr:grpSpPr bwMode="auto">
        <a:xfrm>
          <a:off x="551718" y="152402"/>
          <a:ext cx="1419224" cy="1082917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4371029-9759-3DEB-CE43-7DF10F789C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40A698F-8AA1-A5DF-C8F4-1C560FDB64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A1C3630-DBA5-43E4-B7E5-D5211BB14CF5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EA0A4E3-51C2-1B03-2242-C203FD8D9C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66EE462-2F8F-96BD-61A4-200BDFEDA6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E4E5882-6220-47CA-B969-200987D34E61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CC0B3A9-3FAE-7704-0A98-567479748E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03F45FE-5D31-CC0E-09BF-EDF78BC6BC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8C590D-68FC-4634-A822-4D518647E79F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19B6876-33B8-45A9-0374-1CA5EBA750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B6F728A-7BC9-3AD6-5770-3A1A711983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66676</xdr:rowOff>
    </xdr:from>
    <xdr:to>
      <xdr:col>2</xdr:col>
      <xdr:colOff>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258A739-2558-400D-83DA-CED085B641A8}"/>
            </a:ext>
          </a:extLst>
        </xdr:cNvPr>
        <xdr:cNvGrpSpPr>
          <a:grpSpLocks/>
        </xdr:cNvGrpSpPr>
      </xdr:nvGrpSpPr>
      <xdr:grpSpPr bwMode="auto">
        <a:xfrm>
          <a:off x="428625" y="66676"/>
          <a:ext cx="1466850" cy="857249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1163E38-31AE-72B5-42A5-62B548EBEA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58D4A6F-4838-4C77-0C28-7EF92D7BD0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276225</xdr:colOff>
      <xdr:row>0</xdr:row>
      <xdr:rowOff>66676</xdr:rowOff>
    </xdr:from>
    <xdr:to>
      <xdr:col>2</xdr:col>
      <xdr:colOff>0</xdr:colOff>
      <xdr:row>3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6531056-1CD9-4D1D-BA91-B98D3235D854}"/>
            </a:ext>
          </a:extLst>
        </xdr:cNvPr>
        <xdr:cNvGrpSpPr>
          <a:grpSpLocks/>
        </xdr:cNvGrpSpPr>
      </xdr:nvGrpSpPr>
      <xdr:grpSpPr bwMode="auto">
        <a:xfrm>
          <a:off x="428625" y="66676"/>
          <a:ext cx="1466850" cy="857249"/>
          <a:chOff x="0" y="0"/>
          <a:chExt cx="3636" cy="320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9607399-2484-C27D-F4BB-586EE87D56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D46F538-BC3C-1DFB-06BC-6F7BD56953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93F35F2-1A54-462A-90CE-2F9D4DD9A4BE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7256A10-8397-024D-30FC-F7AE92D365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5F1CE24-E5A4-5002-F183-F343CBDAEC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B99C1C-6BAB-4DB0-BE58-710FFD64FD0A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0D91759-0762-F86F-9E3A-B9019D4CBB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1EEDFB6D-CF68-9FF3-D335-57DC088D93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A9EA2A-324C-451E-9B5F-E28C75DD9649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4739E42-263A-1A9A-149D-BE1DFF556B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5FF03B0-EA4B-9141-F23B-AB4B43778A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C2A7124-1ACB-4D9B-9CC5-4DB419C2ECC0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41345D8-A3FF-CD32-745F-8E6BAA4D96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03B5BE5-DD12-38E0-6FEB-7154A441B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B52C44D-BBD0-4BC7-A95E-BDC411EA6DBF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3E8BC47-F2B8-15EB-3093-E6F6103394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BE070A6-EAB6-0312-A218-F3DD20FA77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CAB7667-6C51-4AF8-9BD8-F882B0D3BEFF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33AC016-BC5D-BD93-E6A4-0E9503642D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150A87E-9301-A885-BDE3-101FE43242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2366A6-2F40-4BF3-A624-C5F30499490C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6CEC24D-6715-7C3F-1F43-387AFB7C4F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536CBFC-4CF8-4881-66BE-D9BA6DA48C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152402</xdr:rowOff>
    </xdr:from>
    <xdr:to>
      <xdr:col>1</xdr:col>
      <xdr:colOff>1809750</xdr:colOff>
      <xdr:row>3</xdr:row>
      <xdr:rowOff>304800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C829D03-AEEB-44FC-AF96-D207901A3B0B}"/>
            </a:ext>
          </a:extLst>
        </xdr:cNvPr>
        <xdr:cNvGrpSpPr>
          <a:grpSpLocks/>
        </xdr:cNvGrpSpPr>
      </xdr:nvGrpSpPr>
      <xdr:grpSpPr bwMode="auto">
        <a:xfrm>
          <a:off x="552451" y="152402"/>
          <a:ext cx="1419224" cy="1076323"/>
          <a:chOff x="0" y="0"/>
          <a:chExt cx="3636" cy="32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ED25FF0-719D-95A1-363E-82AE36BA1A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" y="0"/>
            <a:ext cx="3420" cy="3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4810648-18D3-9C47-0E0B-063BD0C1B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62"/>
            <a:ext cx="2860" cy="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MGH-Files\Staff\BZacharias\Documents\Bernadette\Budget%202027\Copy%20of%20Budget%20FY2026-2027%20Final%20main%20sheet%20detail%20as%20of%2002112026%20(version%201).xlsx" TargetMode="External"/><Relationship Id="rId1" Type="http://schemas.openxmlformats.org/officeDocument/2006/relationships/externalLinkPath" Target="file:///\\BMGH-Files\Staff\bzacharias\Documents\Bernadette\Budget%202027\Copy%20of%20Budget%20FY2026-2027%20Final%20main%20sheet%20detail%20as%20of%2002112026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Bad Debt Contractuals (2)"/>
      <sheetName val="WAITING"/>
      <sheetName val="Non Dept"/>
      <sheetName val="Non Op Rev"/>
      <sheetName val="Other Op Rev"/>
      <sheetName val="dept breakdown"/>
      <sheetName val="ER"/>
      <sheetName val="OBS"/>
      <sheetName val="Swing-SNF"/>
      <sheetName val="Med Surg - Acute"/>
      <sheetName val="Pro Fees"/>
      <sheetName val="LTC"/>
      <sheetName val="CSR"/>
      <sheetName val="PT"/>
      <sheetName val="Respir"/>
      <sheetName val="Rad"/>
      <sheetName val="Lab"/>
      <sheetName val="Blood Bank"/>
      <sheetName val="BM Clinic"/>
      <sheetName val="Pharmacy"/>
      <sheetName val="INFUSION"/>
      <sheetName val="Treatment Room- WAYNE"/>
      <sheetName val="King Clinic"/>
      <sheetName val="Dietary"/>
      <sheetName val="Soc Serv"/>
      <sheetName val="Activ"/>
      <sheetName val="Laund"/>
      <sheetName val="Environmental Services"/>
      <sheetName val="Plant Op"/>
      <sheetName val="JPHSC"/>
      <sheetName val="Business Office"/>
      <sheetName val="Med Rec"/>
      <sheetName val="IT"/>
      <sheetName val="Nurs Admin"/>
      <sheetName val="Finance"/>
      <sheetName val="Quality Mngt"/>
      <sheetName val="Admin"/>
      <sheetName val="HR"/>
      <sheetName val="Inf Cntrl"/>
      <sheetName val="BOT"/>
      <sheetName val="Bad Debt Contractuals"/>
      <sheetName val="Depre"/>
      <sheetName val="CAPITAL EXPENDITURES"/>
      <sheetName val="FTE'S"/>
    </sheetNames>
    <sheetDataSet>
      <sheetData sheetId="0"/>
      <sheetData sheetId="1">
        <row r="25">
          <cell r="B25">
            <v>1075660</v>
          </cell>
          <cell r="C25">
            <v>388642.28</v>
          </cell>
          <cell r="D25">
            <v>777284.56</v>
          </cell>
        </row>
      </sheetData>
      <sheetData sheetId="2"/>
      <sheetData sheetId="3">
        <row r="6">
          <cell r="F6">
            <v>0</v>
          </cell>
        </row>
        <row r="7">
          <cell r="F7">
            <v>0</v>
          </cell>
        </row>
        <row r="14">
          <cell r="C14">
            <v>104.31</v>
          </cell>
          <cell r="E14">
            <v>0</v>
          </cell>
        </row>
        <row r="23">
          <cell r="C23">
            <v>14906.37</v>
          </cell>
          <cell r="E23">
            <v>31000</v>
          </cell>
        </row>
        <row r="26">
          <cell r="C26">
            <v>104744.26</v>
          </cell>
          <cell r="E26">
            <v>293700</v>
          </cell>
        </row>
        <row r="29">
          <cell r="C29">
            <v>3275</v>
          </cell>
          <cell r="E29">
            <v>0</v>
          </cell>
        </row>
        <row r="39">
          <cell r="J39">
            <v>600000</v>
          </cell>
        </row>
        <row r="42">
          <cell r="J42">
            <v>33000</v>
          </cell>
        </row>
      </sheetData>
      <sheetData sheetId="4">
        <row r="40">
          <cell r="H40">
            <v>335070</v>
          </cell>
        </row>
        <row r="43">
          <cell r="H43">
            <v>1277928.02</v>
          </cell>
        </row>
        <row r="47">
          <cell r="J47">
            <v>0</v>
          </cell>
        </row>
        <row r="49">
          <cell r="H49">
            <v>632644.79999999993</v>
          </cell>
          <cell r="J49">
            <v>4241848.7198490007</v>
          </cell>
        </row>
        <row r="50">
          <cell r="H50">
            <v>1934678.52</v>
          </cell>
          <cell r="J50">
            <v>1441312.35</v>
          </cell>
        </row>
        <row r="53">
          <cell r="J53">
            <v>-5000</v>
          </cell>
        </row>
        <row r="55">
          <cell r="J55">
            <v>0</v>
          </cell>
        </row>
        <row r="60">
          <cell r="H60">
            <v>-1761.92</v>
          </cell>
        </row>
        <row r="64">
          <cell r="H64">
            <v>24000</v>
          </cell>
          <cell r="J64">
            <v>12000</v>
          </cell>
        </row>
        <row r="72">
          <cell r="H72">
            <v>0</v>
          </cell>
        </row>
      </sheetData>
      <sheetData sheetId="5">
        <row r="57">
          <cell r="H57">
            <v>560179.76</v>
          </cell>
        </row>
        <row r="58">
          <cell r="J58">
            <v>584500</v>
          </cell>
        </row>
      </sheetData>
      <sheetData sheetId="6"/>
      <sheetData sheetId="7">
        <row r="9">
          <cell r="E9">
            <v>3471296.8</v>
          </cell>
        </row>
        <row r="14">
          <cell r="C14">
            <v>550486.32000000007</v>
          </cell>
          <cell r="E14">
            <v>993377.91029757506</v>
          </cell>
        </row>
        <row r="15">
          <cell r="E15">
            <v>240667.36581463771</v>
          </cell>
          <cell r="F15">
            <v>1234045.2761122128</v>
          </cell>
        </row>
        <row r="17">
          <cell r="C17">
            <v>774936.83</v>
          </cell>
          <cell r="E17">
            <v>1647756</v>
          </cell>
        </row>
        <row r="18">
          <cell r="C18">
            <v>2614.9</v>
          </cell>
          <cell r="E18">
            <v>2995</v>
          </cell>
        </row>
        <row r="19">
          <cell r="E19">
            <v>77000</v>
          </cell>
        </row>
        <row r="20">
          <cell r="C20">
            <v>6569.02</v>
          </cell>
          <cell r="E20">
            <v>12000</v>
          </cell>
        </row>
        <row r="21">
          <cell r="C21">
            <v>1846.35</v>
          </cell>
          <cell r="E21">
            <v>4000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0</v>
          </cell>
        </row>
        <row r="24">
          <cell r="C24">
            <v>4772.59</v>
          </cell>
          <cell r="E24">
            <v>6500</v>
          </cell>
        </row>
        <row r="25">
          <cell r="C25">
            <v>0</v>
          </cell>
          <cell r="E25">
            <v>0</v>
          </cell>
        </row>
        <row r="31">
          <cell r="C31">
            <v>0</v>
          </cell>
          <cell r="E31">
            <v>0</v>
          </cell>
        </row>
        <row r="32">
          <cell r="C32">
            <v>887.07</v>
          </cell>
          <cell r="E32">
            <v>1000</v>
          </cell>
        </row>
      </sheetData>
      <sheetData sheetId="8">
        <row r="10">
          <cell r="E10">
            <v>70099.92</v>
          </cell>
        </row>
      </sheetData>
      <sheetData sheetId="9">
        <row r="7">
          <cell r="E7">
            <v>608893.38</v>
          </cell>
        </row>
        <row r="8">
          <cell r="E8">
            <v>0</v>
          </cell>
        </row>
      </sheetData>
      <sheetData sheetId="10">
        <row r="6">
          <cell r="E6">
            <v>1088008.3799999999</v>
          </cell>
          <cell r="F6" t="str">
            <v>=h8 * h11</v>
          </cell>
        </row>
        <row r="8">
          <cell r="E8">
            <v>0</v>
          </cell>
        </row>
        <row r="10">
          <cell r="E10">
            <v>0</v>
          </cell>
        </row>
        <row r="14">
          <cell r="C14">
            <v>61666.94</v>
          </cell>
          <cell r="E14">
            <v>529024.39903999993</v>
          </cell>
        </row>
        <row r="15">
          <cell r="E15">
            <v>135885.87732076799</v>
          </cell>
          <cell r="F15">
            <v>664910.27636076789</v>
          </cell>
        </row>
        <row r="18">
          <cell r="C18">
            <v>0</v>
          </cell>
          <cell r="E18">
            <v>0</v>
          </cell>
        </row>
        <row r="19">
          <cell r="E19">
            <v>18500</v>
          </cell>
        </row>
        <row r="20">
          <cell r="C20">
            <v>1235</v>
          </cell>
          <cell r="E20">
            <v>16600</v>
          </cell>
        </row>
        <row r="21">
          <cell r="C21">
            <v>0</v>
          </cell>
          <cell r="E21">
            <v>1000</v>
          </cell>
        </row>
        <row r="23">
          <cell r="C23">
            <v>685.69</v>
          </cell>
          <cell r="E23">
            <v>7000</v>
          </cell>
        </row>
        <row r="24">
          <cell r="C24">
            <v>1492.86</v>
          </cell>
          <cell r="E24">
            <v>2000</v>
          </cell>
        </row>
        <row r="25">
          <cell r="C25">
            <v>119</v>
          </cell>
          <cell r="E25">
            <v>8500</v>
          </cell>
        </row>
        <row r="29">
          <cell r="C29">
            <v>0</v>
          </cell>
          <cell r="E29">
            <v>0</v>
          </cell>
        </row>
        <row r="32">
          <cell r="C32">
            <v>144</v>
          </cell>
          <cell r="E32">
            <v>300</v>
          </cell>
        </row>
      </sheetData>
      <sheetData sheetId="11">
        <row r="6">
          <cell r="E6">
            <v>1073.1600000000001</v>
          </cell>
        </row>
        <row r="7">
          <cell r="E7">
            <v>0</v>
          </cell>
        </row>
        <row r="8">
          <cell r="E8">
            <v>1204.3</v>
          </cell>
        </row>
        <row r="9">
          <cell r="E9">
            <v>85580.18</v>
          </cell>
        </row>
        <row r="10">
          <cell r="E10">
            <v>1573.92</v>
          </cell>
        </row>
        <row r="32">
          <cell r="C32">
            <v>0</v>
          </cell>
          <cell r="E32">
            <v>0</v>
          </cell>
        </row>
      </sheetData>
      <sheetData sheetId="12">
        <row r="9">
          <cell r="E9">
            <v>2692218.0999999996</v>
          </cell>
        </row>
        <row r="14">
          <cell r="C14">
            <v>552706.27</v>
          </cell>
          <cell r="E14">
            <v>1231956.5672348284</v>
          </cell>
        </row>
        <row r="15">
          <cell r="E15">
            <v>292007.11247566401</v>
          </cell>
          <cell r="F15">
            <v>1523963.6797104925</v>
          </cell>
        </row>
        <row r="17">
          <cell r="C17">
            <v>0</v>
          </cell>
          <cell r="E17">
            <v>0</v>
          </cell>
        </row>
        <row r="18">
          <cell r="C18">
            <v>3255</v>
          </cell>
          <cell r="E18">
            <v>5000</v>
          </cell>
        </row>
        <row r="19">
          <cell r="E19">
            <v>53800</v>
          </cell>
        </row>
        <row r="20">
          <cell r="C20">
            <v>1068.47</v>
          </cell>
          <cell r="E20">
            <v>13000</v>
          </cell>
        </row>
        <row r="21">
          <cell r="C21">
            <v>6171.78</v>
          </cell>
          <cell r="E21">
            <v>13000</v>
          </cell>
        </row>
        <row r="22">
          <cell r="E22">
            <v>0</v>
          </cell>
        </row>
        <row r="23">
          <cell r="C23">
            <v>100.08</v>
          </cell>
          <cell r="E23">
            <v>2000</v>
          </cell>
        </row>
        <row r="24">
          <cell r="C24">
            <v>2127.54</v>
          </cell>
          <cell r="E24">
            <v>4500</v>
          </cell>
        </row>
        <row r="25">
          <cell r="C25">
            <v>0</v>
          </cell>
          <cell r="E25">
            <v>1000</v>
          </cell>
        </row>
        <row r="31">
          <cell r="C31">
            <v>0</v>
          </cell>
          <cell r="E31">
            <v>2500</v>
          </cell>
        </row>
        <row r="32">
          <cell r="C32">
            <v>4791.5999999999995</v>
          </cell>
          <cell r="E32">
            <v>5500</v>
          </cell>
        </row>
      </sheetData>
      <sheetData sheetId="13">
        <row r="6">
          <cell r="E6">
            <v>0</v>
          </cell>
        </row>
        <row r="8">
          <cell r="E8">
            <v>0</v>
          </cell>
        </row>
        <row r="9">
          <cell r="E9">
            <v>12962.099999999999</v>
          </cell>
        </row>
        <row r="14">
          <cell r="C14">
            <v>44613.23</v>
          </cell>
          <cell r="E14">
            <v>120482.44659360001</v>
          </cell>
        </row>
        <row r="15">
          <cell r="E15">
            <v>35479.504269007208</v>
          </cell>
          <cell r="F15">
            <v>155961.95086260722</v>
          </cell>
        </row>
        <row r="17">
          <cell r="C17">
            <v>0</v>
          </cell>
        </row>
        <row r="18">
          <cell r="C18">
            <v>1500</v>
          </cell>
          <cell r="E18">
            <v>3000</v>
          </cell>
        </row>
        <row r="19">
          <cell r="E19">
            <v>2300</v>
          </cell>
        </row>
        <row r="20">
          <cell r="C20">
            <v>0</v>
          </cell>
          <cell r="E20">
            <v>500</v>
          </cell>
        </row>
        <row r="21">
          <cell r="C21">
            <v>2514.8900000000003</v>
          </cell>
          <cell r="E21">
            <v>6000</v>
          </cell>
        </row>
        <row r="23">
          <cell r="C23">
            <v>0</v>
          </cell>
          <cell r="E23">
            <v>1000</v>
          </cell>
        </row>
        <row r="24">
          <cell r="C24">
            <v>1074</v>
          </cell>
          <cell r="E24">
            <v>1000</v>
          </cell>
        </row>
        <row r="25">
          <cell r="C25">
            <v>0</v>
          </cell>
          <cell r="E25">
            <v>0</v>
          </cell>
        </row>
        <row r="32">
          <cell r="C32">
            <v>2502.1999999999998</v>
          </cell>
          <cell r="E32">
            <v>3000</v>
          </cell>
        </row>
      </sheetData>
      <sheetData sheetId="14">
        <row r="6">
          <cell r="E6">
            <v>44276.480000000003</v>
          </cell>
          <cell r="F6" t="str">
            <v>.</v>
          </cell>
        </row>
        <row r="7">
          <cell r="E7">
            <v>66259.56</v>
          </cell>
        </row>
        <row r="8">
          <cell r="E8">
            <v>980268.16</v>
          </cell>
          <cell r="F8">
            <v>81689.013333333336</v>
          </cell>
        </row>
        <row r="9">
          <cell r="E9">
            <v>1943.96</v>
          </cell>
        </row>
        <row r="10">
          <cell r="E10">
            <v>626.84</v>
          </cell>
        </row>
        <row r="14">
          <cell r="C14">
            <v>259465.78</v>
          </cell>
          <cell r="E14">
            <v>535648.73710070702</v>
          </cell>
        </row>
        <row r="15">
          <cell r="E15">
            <v>129503.69388220231</v>
          </cell>
          <cell r="F15">
            <v>665152.43098290928</v>
          </cell>
        </row>
        <row r="17">
          <cell r="C17">
            <v>0</v>
          </cell>
          <cell r="E17">
            <v>0</v>
          </cell>
        </row>
        <row r="18">
          <cell r="C18">
            <v>5562.46</v>
          </cell>
          <cell r="E18">
            <v>0</v>
          </cell>
        </row>
        <row r="19">
          <cell r="E19">
            <v>20100</v>
          </cell>
        </row>
        <row r="20">
          <cell r="C20">
            <v>787.33</v>
          </cell>
          <cell r="E20">
            <v>10000</v>
          </cell>
        </row>
        <row r="21">
          <cell r="C21">
            <v>0</v>
          </cell>
          <cell r="E21">
            <v>300</v>
          </cell>
        </row>
        <row r="23">
          <cell r="C23">
            <v>2478.4299999999998</v>
          </cell>
          <cell r="E23">
            <v>2500</v>
          </cell>
        </row>
        <row r="24">
          <cell r="C24">
            <v>82.99</v>
          </cell>
          <cell r="E24">
            <v>10000</v>
          </cell>
        </row>
        <row r="25">
          <cell r="C25">
            <v>7820</v>
          </cell>
          <cell r="E25">
            <v>7500</v>
          </cell>
        </row>
        <row r="32">
          <cell r="C32">
            <v>701.05</v>
          </cell>
          <cell r="E32">
            <v>1500</v>
          </cell>
        </row>
      </sheetData>
      <sheetData sheetId="15">
        <row r="6">
          <cell r="E6">
            <v>14596.84</v>
          </cell>
          <cell r="F6">
            <v>1216.4033333333334</v>
          </cell>
        </row>
        <row r="7">
          <cell r="E7">
            <v>2760.34</v>
          </cell>
        </row>
        <row r="8">
          <cell r="E8">
            <v>71207.7</v>
          </cell>
          <cell r="F8">
            <v>5933.9749999999995</v>
          </cell>
        </row>
        <row r="9">
          <cell r="E9">
            <v>269494.58</v>
          </cell>
        </row>
        <row r="10">
          <cell r="E10">
            <v>10163.02</v>
          </cell>
        </row>
        <row r="14">
          <cell r="C14">
            <v>54643.519999999997</v>
          </cell>
          <cell r="E14">
            <v>113830.65840064801</v>
          </cell>
        </row>
        <row r="15">
          <cell r="E15">
            <v>29332.491352814046</v>
          </cell>
          <cell r="F15">
            <v>143163.14975346206</v>
          </cell>
        </row>
        <row r="17">
          <cell r="C17">
            <v>1011.78</v>
          </cell>
          <cell r="E17">
            <v>0</v>
          </cell>
        </row>
        <row r="18">
          <cell r="C18">
            <v>3836.88</v>
          </cell>
          <cell r="E18">
            <v>18000</v>
          </cell>
        </row>
        <row r="19">
          <cell r="E19">
            <v>18000</v>
          </cell>
        </row>
        <row r="20">
          <cell r="C20">
            <v>0</v>
          </cell>
          <cell r="E20">
            <v>3500</v>
          </cell>
        </row>
        <row r="21">
          <cell r="C21">
            <v>0</v>
          </cell>
          <cell r="E21">
            <v>1800</v>
          </cell>
        </row>
        <row r="22">
          <cell r="C22">
            <v>31322.86</v>
          </cell>
          <cell r="E22">
            <v>64000</v>
          </cell>
        </row>
        <row r="23">
          <cell r="C23">
            <v>0</v>
          </cell>
          <cell r="E23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E25">
            <v>0</v>
          </cell>
        </row>
        <row r="32">
          <cell r="C32">
            <v>661.68999999999994</v>
          </cell>
          <cell r="E32">
            <v>810</v>
          </cell>
        </row>
      </sheetData>
      <sheetData sheetId="16">
        <row r="6">
          <cell r="E6">
            <v>58207.739999999991</v>
          </cell>
          <cell r="F6">
            <v>4850.6449999999995</v>
          </cell>
        </row>
        <row r="7">
          <cell r="E7">
            <v>9820.2199999999993</v>
          </cell>
        </row>
        <row r="8">
          <cell r="E8">
            <v>2031622.46</v>
          </cell>
          <cell r="F8">
            <v>169301.87166666667</v>
          </cell>
        </row>
        <row r="9">
          <cell r="E9">
            <v>2813173.64</v>
          </cell>
        </row>
        <row r="10">
          <cell r="E10">
            <v>55489.820000000007</v>
          </cell>
        </row>
        <row r="14">
          <cell r="C14">
            <v>141571.48000000001</v>
          </cell>
          <cell r="E14">
            <v>359719.24864351383</v>
          </cell>
        </row>
        <row r="15">
          <cell r="E15">
            <v>71671.425543641162</v>
          </cell>
          <cell r="F15">
            <v>431390.67418715497</v>
          </cell>
        </row>
        <row r="17">
          <cell r="C17">
            <v>0</v>
          </cell>
          <cell r="E17">
            <v>43000</v>
          </cell>
        </row>
        <row r="18">
          <cell r="C18">
            <v>75368.08</v>
          </cell>
          <cell r="E18">
            <v>150000</v>
          </cell>
        </row>
        <row r="19">
          <cell r="E19">
            <v>18000</v>
          </cell>
        </row>
        <row r="20">
          <cell r="C20">
            <v>377.81</v>
          </cell>
          <cell r="E20">
            <v>1500</v>
          </cell>
        </row>
        <row r="21">
          <cell r="C21">
            <v>5157.74</v>
          </cell>
          <cell r="E21">
            <v>48400</v>
          </cell>
        </row>
        <row r="23">
          <cell r="C23">
            <v>0</v>
          </cell>
          <cell r="E23">
            <v>2000</v>
          </cell>
        </row>
        <row r="24">
          <cell r="C24">
            <v>6354.9</v>
          </cell>
          <cell r="E24">
            <v>16500</v>
          </cell>
        </row>
        <row r="25">
          <cell r="C25">
            <v>150</v>
          </cell>
          <cell r="E25">
            <v>2000</v>
          </cell>
        </row>
        <row r="31">
          <cell r="C31">
            <v>160.82</v>
          </cell>
          <cell r="E31">
            <v>350</v>
          </cell>
        </row>
        <row r="32">
          <cell r="C32">
            <v>513.91999999999996</v>
          </cell>
          <cell r="E32">
            <v>800</v>
          </cell>
        </row>
      </sheetData>
      <sheetData sheetId="17">
        <row r="6">
          <cell r="E6">
            <v>80811.28</v>
          </cell>
        </row>
        <row r="7">
          <cell r="E7">
            <v>36829.019999999997</v>
          </cell>
        </row>
        <row r="8">
          <cell r="E8">
            <v>2708984.96</v>
          </cell>
        </row>
        <row r="9">
          <cell r="E9">
            <v>1138017.8</v>
          </cell>
        </row>
        <row r="10">
          <cell r="E10">
            <v>21188.98</v>
          </cell>
        </row>
        <row r="14">
          <cell r="C14">
            <v>179269.79</v>
          </cell>
          <cell r="E14">
            <v>380616.06932388892</v>
          </cell>
        </row>
        <row r="15">
          <cell r="E15">
            <v>78161.950745244059</v>
          </cell>
          <cell r="F15">
            <v>458778.02006913297</v>
          </cell>
        </row>
        <row r="17">
          <cell r="C17">
            <v>9300</v>
          </cell>
          <cell r="E17">
            <v>36000</v>
          </cell>
        </row>
        <row r="18">
          <cell r="C18">
            <v>119279.99</v>
          </cell>
          <cell r="E18">
            <v>230000</v>
          </cell>
        </row>
        <row r="19">
          <cell r="E19">
            <v>238100</v>
          </cell>
        </row>
        <row r="20">
          <cell r="C20">
            <v>810.16</v>
          </cell>
          <cell r="E20">
            <v>1000</v>
          </cell>
        </row>
        <row r="21">
          <cell r="C21">
            <v>23918.52</v>
          </cell>
          <cell r="E21">
            <v>50000</v>
          </cell>
        </row>
        <row r="23">
          <cell r="C23">
            <v>0</v>
          </cell>
          <cell r="E23">
            <v>0</v>
          </cell>
        </row>
        <row r="24">
          <cell r="C24">
            <v>147.69</v>
          </cell>
          <cell r="E24">
            <v>300</v>
          </cell>
        </row>
        <row r="25">
          <cell r="C25">
            <v>0</v>
          </cell>
          <cell r="E25">
            <v>3000</v>
          </cell>
        </row>
        <row r="31">
          <cell r="C31">
            <v>188</v>
          </cell>
          <cell r="E31">
            <v>550</v>
          </cell>
        </row>
        <row r="32">
          <cell r="C32">
            <v>6801.09</v>
          </cell>
          <cell r="E32">
            <v>10000</v>
          </cell>
        </row>
      </sheetData>
      <sheetData sheetId="18">
        <row r="6">
          <cell r="E6">
            <v>6647.9070000000002</v>
          </cell>
        </row>
        <row r="7">
          <cell r="E7">
            <v>0</v>
          </cell>
        </row>
        <row r="8">
          <cell r="E8">
            <v>8403.15</v>
          </cell>
        </row>
        <row r="9">
          <cell r="E9">
            <v>29604.014999999999</v>
          </cell>
        </row>
        <row r="10">
          <cell r="E10">
            <v>0</v>
          </cell>
        </row>
        <row r="19">
          <cell r="E19">
            <v>45000</v>
          </cell>
        </row>
      </sheetData>
      <sheetData sheetId="19">
        <row r="10">
          <cell r="E10">
            <v>1864637.16</v>
          </cell>
        </row>
        <row r="15">
          <cell r="C15">
            <v>579429.69999999995</v>
          </cell>
          <cell r="E15">
            <v>2104470.1977802725</v>
          </cell>
        </row>
        <row r="16">
          <cell r="E16">
            <v>601851.77735114866</v>
          </cell>
          <cell r="F16">
            <v>2706321.9751314213</v>
          </cell>
        </row>
        <row r="18">
          <cell r="C18">
            <v>310375.78000000003</v>
          </cell>
          <cell r="E18">
            <v>180000</v>
          </cell>
        </row>
        <row r="19">
          <cell r="C19">
            <v>18155.099999999999</v>
          </cell>
          <cell r="E19">
            <v>35000</v>
          </cell>
        </row>
        <row r="20">
          <cell r="E20">
            <v>109700</v>
          </cell>
        </row>
        <row r="21">
          <cell r="C21">
            <v>2415.13</v>
          </cell>
          <cell r="E21">
            <v>6000</v>
          </cell>
        </row>
        <row r="22">
          <cell r="C22">
            <v>2581.62</v>
          </cell>
          <cell r="E22">
            <v>5000</v>
          </cell>
        </row>
        <row r="23">
          <cell r="C23">
            <v>917.43</v>
          </cell>
          <cell r="E23">
            <v>0</v>
          </cell>
        </row>
        <row r="24">
          <cell r="C24">
            <v>0</v>
          </cell>
          <cell r="E24">
            <v>5000</v>
          </cell>
        </row>
        <row r="25">
          <cell r="C25">
            <v>4673.3999999999996</v>
          </cell>
          <cell r="E25">
            <v>10000</v>
          </cell>
        </row>
        <row r="26">
          <cell r="C26">
            <v>1712.53</v>
          </cell>
          <cell r="E26">
            <v>25000</v>
          </cell>
        </row>
        <row r="32">
          <cell r="C32">
            <v>0</v>
          </cell>
          <cell r="E32">
            <v>300</v>
          </cell>
        </row>
        <row r="33">
          <cell r="C33">
            <v>163.30000000000001</v>
          </cell>
          <cell r="E33">
            <v>2150</v>
          </cell>
        </row>
      </sheetData>
      <sheetData sheetId="20">
        <row r="6">
          <cell r="E6">
            <v>125295.192</v>
          </cell>
          <cell r="F6">
            <v>10441.266</v>
          </cell>
        </row>
        <row r="7">
          <cell r="E7">
            <v>177111.07199999999</v>
          </cell>
        </row>
        <row r="8">
          <cell r="E8">
            <v>376027.70399999997</v>
          </cell>
          <cell r="F8">
            <v>31335.641999999996</v>
          </cell>
        </row>
        <row r="9">
          <cell r="E9">
            <v>451231.82400000002</v>
          </cell>
        </row>
        <row r="10">
          <cell r="E10">
            <v>44075.423999999992</v>
          </cell>
        </row>
        <row r="16">
          <cell r="C16">
            <v>81991.31</v>
          </cell>
          <cell r="E16">
            <v>177811.6678124</v>
          </cell>
        </row>
        <row r="17">
          <cell r="E17">
            <v>46573.141785129796</v>
          </cell>
          <cell r="F17">
            <v>224384.80959752979</v>
          </cell>
        </row>
        <row r="19">
          <cell r="C19">
            <v>10033.73</v>
          </cell>
          <cell r="E19">
            <v>10000</v>
          </cell>
        </row>
        <row r="20">
          <cell r="C20">
            <v>6433.75</v>
          </cell>
          <cell r="E20">
            <v>18875.98</v>
          </cell>
        </row>
        <row r="21">
          <cell r="E21">
            <v>649144.36</v>
          </cell>
        </row>
        <row r="22">
          <cell r="C22">
            <v>379.98</v>
          </cell>
          <cell r="E22">
            <v>500</v>
          </cell>
        </row>
        <row r="23">
          <cell r="C23">
            <v>7065.6</v>
          </cell>
          <cell r="E23">
            <v>16957.439999999999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E25">
            <v>500</v>
          </cell>
        </row>
        <row r="26">
          <cell r="C26">
            <v>1556.46</v>
          </cell>
          <cell r="E26">
            <v>3500</v>
          </cell>
        </row>
        <row r="27">
          <cell r="C27">
            <v>0</v>
          </cell>
          <cell r="E27">
            <v>1000</v>
          </cell>
        </row>
        <row r="33">
          <cell r="C33">
            <v>0</v>
          </cell>
          <cell r="E33">
            <v>0</v>
          </cell>
        </row>
        <row r="34">
          <cell r="C34">
            <v>632.16</v>
          </cell>
          <cell r="E34">
            <v>1300</v>
          </cell>
        </row>
      </sheetData>
      <sheetData sheetId="21">
        <row r="6">
          <cell r="E6">
            <v>31737.456000000006</v>
          </cell>
        </row>
        <row r="8">
          <cell r="E8">
            <v>103148.568</v>
          </cell>
        </row>
        <row r="9">
          <cell r="E9">
            <v>922070.73600000003</v>
          </cell>
        </row>
        <row r="10">
          <cell r="E10">
            <v>100399.41599999998</v>
          </cell>
        </row>
      </sheetData>
      <sheetData sheetId="22"/>
      <sheetData sheetId="23">
        <row r="18">
          <cell r="C18">
            <v>0</v>
          </cell>
          <cell r="E18">
            <v>0</v>
          </cell>
        </row>
        <row r="19">
          <cell r="E19">
            <v>0</v>
          </cell>
        </row>
        <row r="21"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0</v>
          </cell>
        </row>
        <row r="31">
          <cell r="C31">
            <v>463.23</v>
          </cell>
          <cell r="E31">
            <v>1525</v>
          </cell>
        </row>
        <row r="32">
          <cell r="E32">
            <v>0</v>
          </cell>
        </row>
      </sheetData>
      <sheetData sheetId="24">
        <row r="14">
          <cell r="C14">
            <v>196159.65</v>
          </cell>
          <cell r="E14">
            <v>474480.705972864</v>
          </cell>
        </row>
        <row r="15">
          <cell r="E15">
            <v>144958.66432992285</v>
          </cell>
          <cell r="F15">
            <v>619439.37030278682</v>
          </cell>
        </row>
        <row r="17">
          <cell r="C17">
            <v>8544</v>
          </cell>
          <cell r="E17">
            <v>20000</v>
          </cell>
        </row>
        <row r="18">
          <cell r="C18">
            <v>1000</v>
          </cell>
          <cell r="E18">
            <v>1000</v>
          </cell>
        </row>
        <row r="19">
          <cell r="E19">
            <v>168050</v>
          </cell>
        </row>
        <row r="20">
          <cell r="C20">
            <v>2164.52</v>
          </cell>
          <cell r="E20">
            <v>6000</v>
          </cell>
        </row>
        <row r="21">
          <cell r="C21">
            <v>0</v>
          </cell>
          <cell r="E21">
            <v>1630</v>
          </cell>
        </row>
        <row r="22">
          <cell r="C22">
            <v>0</v>
          </cell>
          <cell r="E22">
            <v>0</v>
          </cell>
        </row>
        <row r="23">
          <cell r="C23">
            <v>0</v>
          </cell>
          <cell r="E23">
            <v>250</v>
          </cell>
        </row>
        <row r="24">
          <cell r="C24">
            <v>210</v>
          </cell>
          <cell r="E24">
            <v>600</v>
          </cell>
        </row>
        <row r="25">
          <cell r="C25">
            <v>599.97</v>
          </cell>
          <cell r="E25">
            <v>1000</v>
          </cell>
        </row>
        <row r="32">
          <cell r="C32">
            <v>78.069999999999993</v>
          </cell>
          <cell r="E32">
            <v>100</v>
          </cell>
        </row>
      </sheetData>
      <sheetData sheetId="25">
        <row r="11">
          <cell r="C11">
            <v>26322.37</v>
          </cell>
          <cell r="E11">
            <v>78939.430236233035</v>
          </cell>
        </row>
        <row r="12">
          <cell r="E12">
            <v>21635.66998741341</v>
          </cell>
          <cell r="F12">
            <v>100575.10022364644</v>
          </cell>
        </row>
        <row r="15">
          <cell r="C15">
            <v>0</v>
          </cell>
        </row>
        <row r="16">
          <cell r="E16">
            <v>350</v>
          </cell>
        </row>
        <row r="17">
          <cell r="C17">
            <v>0</v>
          </cell>
          <cell r="E17">
            <v>250</v>
          </cell>
        </row>
        <row r="18">
          <cell r="C18">
            <v>0</v>
          </cell>
          <cell r="E18">
            <v>0</v>
          </cell>
        </row>
        <row r="20">
          <cell r="C20">
            <v>0</v>
          </cell>
          <cell r="E20">
            <v>1000</v>
          </cell>
        </row>
        <row r="21">
          <cell r="C21">
            <v>0</v>
          </cell>
          <cell r="E21">
            <v>400</v>
          </cell>
        </row>
        <row r="22">
          <cell r="C22">
            <v>200</v>
          </cell>
          <cell r="E22">
            <v>1000</v>
          </cell>
        </row>
        <row r="29">
          <cell r="C29">
            <v>0</v>
          </cell>
          <cell r="E29">
            <v>0</v>
          </cell>
        </row>
      </sheetData>
      <sheetData sheetId="26">
        <row r="6">
          <cell r="F6">
            <v>0</v>
          </cell>
        </row>
        <row r="7">
          <cell r="F7">
            <v>0</v>
          </cell>
        </row>
        <row r="11">
          <cell r="C11">
            <v>45510.32</v>
          </cell>
          <cell r="E11">
            <v>90056.019086400003</v>
          </cell>
        </row>
        <row r="12">
          <cell r="E12">
            <v>25505.109532869603</v>
          </cell>
          <cell r="F12">
            <v>115561.12861926961</v>
          </cell>
        </row>
        <row r="14">
          <cell r="C14">
            <v>0</v>
          </cell>
          <cell r="E14">
            <v>0</v>
          </cell>
        </row>
        <row r="15">
          <cell r="C15">
            <v>0</v>
          </cell>
          <cell r="E15">
            <v>300</v>
          </cell>
        </row>
        <row r="16">
          <cell r="E16">
            <v>6000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20">
          <cell r="C20">
            <v>0</v>
          </cell>
          <cell r="E20">
            <v>500</v>
          </cell>
        </row>
        <row r="21">
          <cell r="C21">
            <v>0</v>
          </cell>
          <cell r="E21">
            <v>600</v>
          </cell>
        </row>
        <row r="22">
          <cell r="C22">
            <v>85</v>
          </cell>
          <cell r="E22">
            <v>2000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</sheetData>
      <sheetData sheetId="27">
        <row r="11">
          <cell r="C11">
            <v>17750.599999999999</v>
          </cell>
          <cell r="E11">
            <v>40800</v>
          </cell>
        </row>
        <row r="12">
          <cell r="E12">
            <v>9267.36</v>
          </cell>
          <cell r="F12">
            <v>50067.360000000001</v>
          </cell>
        </row>
        <row r="15">
          <cell r="C15">
            <v>107713.53</v>
          </cell>
          <cell r="E15">
            <v>175000</v>
          </cell>
        </row>
        <row r="16">
          <cell r="E16">
            <v>2100</v>
          </cell>
        </row>
        <row r="17">
          <cell r="C17">
            <v>0</v>
          </cell>
          <cell r="E17">
            <v>600</v>
          </cell>
        </row>
        <row r="18">
          <cell r="C18">
            <v>0</v>
          </cell>
        </row>
        <row r="29">
          <cell r="C29">
            <v>0</v>
          </cell>
          <cell r="E29">
            <v>0</v>
          </cell>
        </row>
      </sheetData>
      <sheetData sheetId="28">
        <row r="6">
          <cell r="F6">
            <v>0</v>
          </cell>
        </row>
        <row r="7">
          <cell r="F7">
            <v>0</v>
          </cell>
        </row>
        <row r="11">
          <cell r="C11">
            <v>210303.51</v>
          </cell>
          <cell r="E11">
            <v>580261.66166781867</v>
          </cell>
        </row>
        <row r="12">
          <cell r="E12">
            <v>199440.55671286484</v>
          </cell>
          <cell r="F12">
            <v>779702.21838068357</v>
          </cell>
        </row>
        <row r="15">
          <cell r="C15">
            <v>0</v>
          </cell>
          <cell r="E15">
            <v>0</v>
          </cell>
        </row>
        <row r="16">
          <cell r="E16">
            <v>19800</v>
          </cell>
        </row>
        <row r="17">
          <cell r="C17">
            <v>1084.71</v>
          </cell>
          <cell r="E17">
            <v>2300</v>
          </cell>
        </row>
        <row r="18">
          <cell r="C18">
            <v>0</v>
          </cell>
          <cell r="E18">
            <v>1000</v>
          </cell>
        </row>
        <row r="20">
          <cell r="C20">
            <v>0</v>
          </cell>
          <cell r="E20">
            <v>250</v>
          </cell>
        </row>
        <row r="22">
          <cell r="C22">
            <v>0</v>
          </cell>
          <cell r="E22">
            <v>250</v>
          </cell>
        </row>
        <row r="29">
          <cell r="C29">
            <v>30</v>
          </cell>
          <cell r="E29">
            <v>100</v>
          </cell>
        </row>
      </sheetData>
      <sheetData sheetId="29">
        <row r="6">
          <cell r="F6">
            <v>0</v>
          </cell>
        </row>
        <row r="7">
          <cell r="F7">
            <v>0</v>
          </cell>
        </row>
        <row r="11">
          <cell r="C11">
            <v>86095.56</v>
          </cell>
          <cell r="E11">
            <v>221746.51633308621</v>
          </cell>
        </row>
        <row r="12">
          <cell r="E12">
            <v>69719.093977675046</v>
          </cell>
          <cell r="F12">
            <v>291465.61031076126</v>
          </cell>
        </row>
        <row r="15">
          <cell r="C15">
            <v>4884</v>
          </cell>
          <cell r="E15">
            <v>20000</v>
          </cell>
        </row>
        <row r="16">
          <cell r="E16">
            <v>20100</v>
          </cell>
        </row>
        <row r="17">
          <cell r="C17">
            <v>5977.21</v>
          </cell>
          <cell r="E17">
            <v>12000</v>
          </cell>
        </row>
        <row r="18">
          <cell r="C18">
            <v>12889.79</v>
          </cell>
          <cell r="E18">
            <v>76000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E20">
            <v>500</v>
          </cell>
        </row>
        <row r="22">
          <cell r="C22">
            <v>0</v>
          </cell>
          <cell r="E22">
            <v>3500</v>
          </cell>
        </row>
        <row r="28">
          <cell r="C28">
            <v>84580.900000000009</v>
          </cell>
          <cell r="E28">
            <v>202500</v>
          </cell>
        </row>
        <row r="29">
          <cell r="C29">
            <v>94.5</v>
          </cell>
          <cell r="E29">
            <v>200</v>
          </cell>
        </row>
      </sheetData>
      <sheetData sheetId="30">
        <row r="15">
          <cell r="C15">
            <v>0</v>
          </cell>
          <cell r="E15">
            <v>2500</v>
          </cell>
        </row>
        <row r="16">
          <cell r="E16">
            <v>3000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3500</v>
          </cell>
        </row>
        <row r="28">
          <cell r="C28">
            <v>6227.72</v>
          </cell>
          <cell r="E28">
            <v>20500</v>
          </cell>
        </row>
        <row r="29">
          <cell r="C29">
            <v>0</v>
          </cell>
          <cell r="E29">
            <v>0</v>
          </cell>
        </row>
      </sheetData>
      <sheetData sheetId="31">
        <row r="11">
          <cell r="C11">
            <v>167506.67000000001</v>
          </cell>
          <cell r="E11">
            <v>466288.43130167999</v>
          </cell>
        </row>
        <row r="12">
          <cell r="E12">
            <v>147208.73782404439</v>
          </cell>
          <cell r="F12">
            <v>613497.16912572435</v>
          </cell>
        </row>
        <row r="14">
          <cell r="C14">
            <v>15383.380000000001</v>
          </cell>
          <cell r="E14">
            <v>17000</v>
          </cell>
        </row>
        <row r="15">
          <cell r="C15">
            <v>179966.07999999999</v>
          </cell>
          <cell r="E15">
            <v>438475</v>
          </cell>
        </row>
        <row r="16">
          <cell r="E16">
            <v>10780</v>
          </cell>
        </row>
        <row r="17">
          <cell r="C17">
            <v>1157.03</v>
          </cell>
          <cell r="E17">
            <v>1540</v>
          </cell>
        </row>
        <row r="18">
          <cell r="C18">
            <v>1394.68</v>
          </cell>
          <cell r="E18">
            <v>5500</v>
          </cell>
        </row>
        <row r="19">
          <cell r="C19">
            <v>647.4</v>
          </cell>
          <cell r="E19">
            <v>1400</v>
          </cell>
        </row>
        <row r="20">
          <cell r="C20">
            <v>2646.88</v>
          </cell>
          <cell r="E20">
            <v>8100</v>
          </cell>
        </row>
        <row r="21">
          <cell r="C21">
            <v>0</v>
          </cell>
          <cell r="E21">
            <v>1000</v>
          </cell>
        </row>
        <row r="22">
          <cell r="C22">
            <v>1812.4</v>
          </cell>
          <cell r="E22">
            <v>8200</v>
          </cell>
        </row>
        <row r="28">
          <cell r="C28">
            <v>0</v>
          </cell>
          <cell r="E28">
            <v>0</v>
          </cell>
        </row>
        <row r="29">
          <cell r="C29">
            <v>5474.82</v>
          </cell>
          <cell r="E29">
            <v>12580</v>
          </cell>
        </row>
      </sheetData>
      <sheetData sheetId="32">
        <row r="11">
          <cell r="C11">
            <v>21467.45</v>
          </cell>
          <cell r="E11">
            <v>57145.871404440011</v>
          </cell>
        </row>
        <row r="12">
          <cell r="E12">
            <v>17180.169180360663</v>
          </cell>
          <cell r="F12">
            <v>74326.040584800678</v>
          </cell>
        </row>
        <row r="15">
          <cell r="C15">
            <v>6391.07</v>
          </cell>
          <cell r="E15">
            <v>16000</v>
          </cell>
        </row>
        <row r="16">
          <cell r="E16">
            <v>80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E18">
            <v>0</v>
          </cell>
        </row>
        <row r="20">
          <cell r="C20">
            <v>0</v>
          </cell>
          <cell r="E20">
            <v>0</v>
          </cell>
        </row>
        <row r="21">
          <cell r="C21">
            <v>7465.22</v>
          </cell>
          <cell r="E21">
            <v>15445</v>
          </cell>
        </row>
        <row r="22">
          <cell r="C22">
            <v>368</v>
          </cell>
          <cell r="E22">
            <v>5000</v>
          </cell>
        </row>
        <row r="29">
          <cell r="C29">
            <v>0</v>
          </cell>
          <cell r="E29">
            <v>0</v>
          </cell>
        </row>
      </sheetData>
      <sheetData sheetId="33">
        <row r="11">
          <cell r="C11">
            <v>48694.46</v>
          </cell>
          <cell r="E11">
            <v>173468.24053546903</v>
          </cell>
        </row>
        <row r="12">
          <cell r="E12">
            <v>38528.233213926738</v>
          </cell>
          <cell r="F12">
            <v>211996.47374939575</v>
          </cell>
        </row>
        <row r="15">
          <cell r="C15">
            <v>33821.730000000003</v>
          </cell>
          <cell r="E15">
            <v>87000</v>
          </cell>
        </row>
        <row r="16">
          <cell r="E16">
            <v>2250</v>
          </cell>
          <cell r="F16" t="str">
            <v xml:space="preserve">   </v>
          </cell>
        </row>
        <row r="17">
          <cell r="C17">
            <v>6853.45</v>
          </cell>
          <cell r="E17">
            <v>30000</v>
          </cell>
          <cell r="F17" t="str">
            <v xml:space="preserve">   </v>
          </cell>
        </row>
        <row r="18">
          <cell r="C18">
            <v>9280.4</v>
          </cell>
          <cell r="E18">
            <v>29000</v>
          </cell>
          <cell r="F18" t="str">
            <v xml:space="preserve">   </v>
          </cell>
        </row>
        <row r="19">
          <cell r="F19" t="str">
            <v xml:space="preserve">   </v>
          </cell>
        </row>
        <row r="20">
          <cell r="C20">
            <v>0</v>
          </cell>
          <cell r="E20">
            <v>1000</v>
          </cell>
        </row>
        <row r="21">
          <cell r="C21">
            <v>10759.37</v>
          </cell>
          <cell r="E21">
            <v>25000</v>
          </cell>
        </row>
        <row r="22">
          <cell r="C22">
            <v>0</v>
          </cell>
          <cell r="E22">
            <v>2500</v>
          </cell>
        </row>
        <row r="28">
          <cell r="C28">
            <v>416.47</v>
          </cell>
          <cell r="E28">
            <v>0</v>
          </cell>
        </row>
        <row r="29">
          <cell r="C29">
            <v>0</v>
          </cell>
          <cell r="E29">
            <v>200</v>
          </cell>
        </row>
      </sheetData>
      <sheetData sheetId="34">
        <row r="6">
          <cell r="F6">
            <v>0</v>
          </cell>
        </row>
        <row r="7">
          <cell r="F7">
            <v>0</v>
          </cell>
        </row>
        <row r="11">
          <cell r="C11">
            <v>69361.8</v>
          </cell>
          <cell r="E11">
            <v>141822.59520000001</v>
          </cell>
        </row>
        <row r="12">
          <cell r="E12">
            <v>34491.578212799999</v>
          </cell>
          <cell r="F12">
            <v>176314.17341280001</v>
          </cell>
        </row>
        <row r="16">
          <cell r="E16">
            <v>50</v>
          </cell>
        </row>
        <row r="17">
          <cell r="C17">
            <v>0</v>
          </cell>
          <cell r="E17">
            <v>200</v>
          </cell>
        </row>
        <row r="20">
          <cell r="C20">
            <v>1891.04</v>
          </cell>
          <cell r="E20">
            <v>5000</v>
          </cell>
        </row>
        <row r="21">
          <cell r="C21">
            <v>0</v>
          </cell>
          <cell r="E21">
            <v>0</v>
          </cell>
        </row>
        <row r="22">
          <cell r="C22">
            <v>1218.2</v>
          </cell>
          <cell r="E22">
            <v>2500</v>
          </cell>
        </row>
        <row r="28">
          <cell r="C28">
            <v>0</v>
          </cell>
          <cell r="E28">
            <v>0</v>
          </cell>
        </row>
        <row r="29">
          <cell r="C29">
            <v>0</v>
          </cell>
          <cell r="E29">
            <v>0</v>
          </cell>
        </row>
      </sheetData>
      <sheetData sheetId="35">
        <row r="11">
          <cell r="C11">
            <v>96685.92</v>
          </cell>
          <cell r="E11">
            <v>165545.03228648283</v>
          </cell>
        </row>
        <row r="12">
          <cell r="E12">
            <v>44838.621159510061</v>
          </cell>
        </row>
        <row r="14">
          <cell r="C14">
            <v>66722.81</v>
          </cell>
          <cell r="E14">
            <v>110000</v>
          </cell>
        </row>
        <row r="15">
          <cell r="C15">
            <v>0</v>
          </cell>
          <cell r="E15">
            <v>0</v>
          </cell>
        </row>
        <row r="16">
          <cell r="E16">
            <v>4020</v>
          </cell>
        </row>
        <row r="17">
          <cell r="C17">
            <v>0</v>
          </cell>
          <cell r="E17">
            <v>250</v>
          </cell>
        </row>
        <row r="18">
          <cell r="C18">
            <v>0</v>
          </cell>
          <cell r="E18">
            <v>250</v>
          </cell>
        </row>
        <row r="19">
          <cell r="C19">
            <v>0</v>
          </cell>
        </row>
        <row r="20">
          <cell r="C20">
            <v>0</v>
          </cell>
          <cell r="E20">
            <v>2000</v>
          </cell>
        </row>
        <row r="21">
          <cell r="C21">
            <v>155.88</v>
          </cell>
          <cell r="E21">
            <v>156</v>
          </cell>
        </row>
        <row r="22">
          <cell r="C22">
            <v>0</v>
          </cell>
          <cell r="E22">
            <v>10000</v>
          </cell>
        </row>
        <row r="29">
          <cell r="C29">
            <v>0</v>
          </cell>
          <cell r="E29">
            <v>0</v>
          </cell>
        </row>
      </sheetData>
      <sheetData sheetId="36">
        <row r="11">
          <cell r="C11">
            <v>57805.78</v>
          </cell>
          <cell r="E11">
            <v>93339.099600000016</v>
          </cell>
        </row>
        <row r="12">
          <cell r="E12">
            <v>25303.577135400003</v>
          </cell>
          <cell r="F12">
            <v>118642.67673540002</v>
          </cell>
        </row>
        <row r="15">
          <cell r="C15">
            <v>3000</v>
          </cell>
          <cell r="E15">
            <v>6000</v>
          </cell>
        </row>
        <row r="16">
          <cell r="E16">
            <v>2000</v>
          </cell>
        </row>
        <row r="17">
          <cell r="C17">
            <v>0</v>
          </cell>
          <cell r="E17">
            <v>0</v>
          </cell>
        </row>
        <row r="20">
          <cell r="C20">
            <v>130.82</v>
          </cell>
          <cell r="E20">
            <v>500</v>
          </cell>
        </row>
        <row r="21">
          <cell r="C21">
            <v>827.64</v>
          </cell>
          <cell r="E21">
            <v>1500</v>
          </cell>
        </row>
        <row r="22">
          <cell r="C22">
            <v>0</v>
          </cell>
          <cell r="E22">
            <v>1000</v>
          </cell>
        </row>
        <row r="29">
          <cell r="C29">
            <v>0</v>
          </cell>
          <cell r="E29">
            <v>5000</v>
          </cell>
        </row>
      </sheetData>
      <sheetData sheetId="37">
        <row r="11">
          <cell r="C11">
            <v>161673.89000000001</v>
          </cell>
          <cell r="E11">
            <v>300017.07096470712</v>
          </cell>
        </row>
        <row r="12">
          <cell r="E12">
            <v>67083.651736054002</v>
          </cell>
          <cell r="F12">
            <v>367100.72270076111</v>
          </cell>
        </row>
        <row r="14">
          <cell r="C14">
            <v>18551</v>
          </cell>
          <cell r="E14">
            <v>75000</v>
          </cell>
        </row>
        <row r="15">
          <cell r="C15">
            <v>30719.43</v>
          </cell>
          <cell r="E15">
            <v>70000</v>
          </cell>
        </row>
        <row r="16">
          <cell r="E16">
            <v>4500</v>
          </cell>
        </row>
        <row r="17">
          <cell r="C17">
            <v>0</v>
          </cell>
          <cell r="E17">
            <v>1000</v>
          </cell>
        </row>
        <row r="18">
          <cell r="C18">
            <v>136.88</v>
          </cell>
          <cell r="E18">
            <v>300</v>
          </cell>
        </row>
        <row r="19">
          <cell r="C19">
            <v>0</v>
          </cell>
        </row>
        <row r="20">
          <cell r="C20">
            <v>-53.12</v>
          </cell>
          <cell r="E20">
            <v>6000</v>
          </cell>
        </row>
        <row r="21">
          <cell r="C21">
            <v>9452.2800000000007</v>
          </cell>
          <cell r="E21">
            <v>20000</v>
          </cell>
        </row>
        <row r="22">
          <cell r="C22">
            <v>632.74</v>
          </cell>
          <cell r="E22">
            <v>10000</v>
          </cell>
        </row>
        <row r="28">
          <cell r="C28">
            <v>1281.55</v>
          </cell>
          <cell r="E28">
            <v>900</v>
          </cell>
        </row>
        <row r="29">
          <cell r="C29">
            <v>44303.75</v>
          </cell>
          <cell r="E29">
            <v>32000</v>
          </cell>
        </row>
      </sheetData>
      <sheetData sheetId="38">
        <row r="11">
          <cell r="C11">
            <v>58219.32</v>
          </cell>
          <cell r="E11">
            <v>169647.17423124181</v>
          </cell>
        </row>
        <row r="12">
          <cell r="E12">
            <v>47677.267884745939</v>
          </cell>
        </row>
        <row r="15">
          <cell r="C15">
            <v>22758.38</v>
          </cell>
          <cell r="E15">
            <v>26000</v>
          </cell>
        </row>
        <row r="16">
          <cell r="E16">
            <v>1700</v>
          </cell>
        </row>
        <row r="17">
          <cell r="C17">
            <v>0</v>
          </cell>
          <cell r="E17">
            <v>500</v>
          </cell>
        </row>
        <row r="19">
          <cell r="C19">
            <v>3013.02</v>
          </cell>
          <cell r="E19">
            <v>6000</v>
          </cell>
        </row>
        <row r="20">
          <cell r="C20">
            <v>1854.21</v>
          </cell>
          <cell r="E20">
            <v>3000</v>
          </cell>
        </row>
        <row r="21">
          <cell r="C21">
            <v>2048.4899999999998</v>
          </cell>
          <cell r="E21">
            <v>1000</v>
          </cell>
        </row>
        <row r="22">
          <cell r="C22">
            <v>5214.96</v>
          </cell>
          <cell r="E22">
            <v>4000</v>
          </cell>
        </row>
        <row r="29">
          <cell r="C29">
            <v>161.1</v>
          </cell>
          <cell r="E29">
            <v>2650</v>
          </cell>
        </row>
      </sheetData>
      <sheetData sheetId="39">
        <row r="11">
          <cell r="C11">
            <v>21373.26</v>
          </cell>
          <cell r="E11">
            <v>37400.519519999994</v>
          </cell>
        </row>
        <row r="12">
          <cell r="E12">
            <v>8495.1980043839976</v>
          </cell>
          <cell r="F12">
            <v>45895.717524383988</v>
          </cell>
        </row>
        <row r="14">
          <cell r="C14">
            <v>0</v>
          </cell>
          <cell r="E14">
            <v>0</v>
          </cell>
        </row>
        <row r="16">
          <cell r="E16">
            <v>230</v>
          </cell>
        </row>
        <row r="17">
          <cell r="C17">
            <v>0</v>
          </cell>
          <cell r="E17">
            <v>300</v>
          </cell>
        </row>
        <row r="18">
          <cell r="C18">
            <v>726</v>
          </cell>
          <cell r="E18">
            <v>1500</v>
          </cell>
        </row>
        <row r="20">
          <cell r="C20">
            <v>0</v>
          </cell>
          <cell r="E20">
            <v>500</v>
          </cell>
        </row>
        <row r="21">
          <cell r="C21">
            <v>220</v>
          </cell>
          <cell r="E21">
            <v>500</v>
          </cell>
        </row>
        <row r="22">
          <cell r="C22">
            <v>100</v>
          </cell>
          <cell r="E22">
            <v>800</v>
          </cell>
        </row>
        <row r="29">
          <cell r="C29">
            <v>5010.3999999999996</v>
          </cell>
          <cell r="E29">
            <v>10800</v>
          </cell>
        </row>
      </sheetData>
      <sheetData sheetId="40">
        <row r="11">
          <cell r="E11">
            <v>0</v>
          </cell>
        </row>
        <row r="12">
          <cell r="E12">
            <v>2000</v>
          </cell>
          <cell r="F12">
            <v>2000</v>
          </cell>
        </row>
        <row r="15">
          <cell r="C15">
            <v>0</v>
          </cell>
        </row>
        <row r="16">
          <cell r="E16">
            <v>0</v>
          </cell>
        </row>
        <row r="17">
          <cell r="C17">
            <v>0</v>
          </cell>
          <cell r="E17">
            <v>3000</v>
          </cell>
        </row>
        <row r="18">
          <cell r="C18">
            <v>0</v>
          </cell>
        </row>
        <row r="20">
          <cell r="C20">
            <v>0</v>
          </cell>
          <cell r="E20">
            <v>3000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5000</v>
          </cell>
        </row>
        <row r="29">
          <cell r="C29">
            <v>6597.95</v>
          </cell>
          <cell r="E29">
            <v>35000</v>
          </cell>
        </row>
      </sheetData>
      <sheetData sheetId="41">
        <row r="6">
          <cell r="F6">
            <v>0</v>
          </cell>
        </row>
        <row r="7">
          <cell r="F7">
            <v>0</v>
          </cell>
        </row>
      </sheetData>
      <sheetData sheetId="42">
        <row r="6">
          <cell r="F6">
            <v>0</v>
          </cell>
        </row>
        <row r="7">
          <cell r="F7">
            <v>0</v>
          </cell>
        </row>
        <row r="24">
          <cell r="C24">
            <v>889053.09</v>
          </cell>
          <cell r="E24">
            <v>3075750.3415333335</v>
          </cell>
        </row>
      </sheetData>
      <sheetData sheetId="43"/>
      <sheetData sheetId="44">
        <row r="35">
          <cell r="D35">
            <v>113.93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BF78BD-0D45-42C5-B211-E2B98F3D175B}" name="Table13" displayName="Table13" ref="B9:D34" totalsRowShown="0">
  <autoFilter ref="B9:D34" xr:uid="{ABBF78BD-0D45-42C5-B211-E2B98F3D175B}"/>
  <tableColumns count="3">
    <tableColumn id="1" xr3:uid="{DA55C111-479C-4B4B-9113-239ECC4C017A}" name="DEPARTMENT"/>
    <tableColumn id="2" xr3:uid="{E0607E99-E6EF-4327-B5C1-07E11159ECB0}" name="FTE'S 2026" dataDxfId="1"/>
    <tableColumn id="3" xr3:uid="{5CF3009A-188C-488A-AEBD-1432799097BC}" name="FTE'S 20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B0FC-6D33-4A8A-B700-8A6D7F6F7394}">
  <sheetPr>
    <pageSetUpPr fitToPage="1"/>
  </sheetPr>
  <dimension ref="A1:S79"/>
  <sheetViews>
    <sheetView topLeftCell="A27" zoomScale="115" zoomScaleNormal="115" workbookViewId="0">
      <selection activeCell="AI52" sqref="AI52"/>
    </sheetView>
  </sheetViews>
  <sheetFormatPr defaultRowHeight="15" x14ac:dyDescent="0.25"/>
  <cols>
    <col min="1" max="1" width="28.85546875" style="240" customWidth="1"/>
    <col min="2" max="2" width="15.42578125" style="239" customWidth="1"/>
    <col min="3" max="3" width="12.85546875" style="239" customWidth="1"/>
    <col min="4" max="4" width="11.7109375" style="239" customWidth="1"/>
    <col min="5" max="5" width="18.5703125" style="239" customWidth="1"/>
    <col min="6" max="6" width="11.7109375" style="239" hidden="1" customWidth="1"/>
    <col min="7" max="7" width="11.28515625" style="239" hidden="1" customWidth="1"/>
    <col min="8" max="8" width="13.7109375" style="242" hidden="1" customWidth="1"/>
    <col min="9" max="9" width="15.85546875" style="240" hidden="1" customWidth="1"/>
    <col min="10" max="10" width="11.7109375" style="240" hidden="1" customWidth="1"/>
    <col min="11" max="11" width="5.140625" style="240" hidden="1" customWidth="1"/>
    <col min="12" max="12" width="22.28515625" style="239" hidden="1" customWidth="1"/>
    <col min="13" max="13" width="14" style="240" hidden="1" customWidth="1"/>
    <col min="14" max="14" width="26.28515625" style="240" hidden="1" customWidth="1"/>
    <col min="15" max="15" width="3" style="98" hidden="1" customWidth="1"/>
    <col min="16" max="16" width="12.85546875" style="241" hidden="1" customWidth="1"/>
    <col min="17" max="17" width="13.5703125" style="63" hidden="1" customWidth="1"/>
    <col min="18" max="18" width="15.28515625" style="240" hidden="1" customWidth="1"/>
    <col min="19" max="19" width="13.5703125" style="240" hidden="1" customWidth="1"/>
    <col min="20" max="33" width="0" style="240" hidden="1" customWidth="1"/>
    <col min="34" max="16384" width="9.140625" style="240"/>
  </cols>
  <sheetData>
    <row r="1" spans="1:17" x14ac:dyDescent="0.25">
      <c r="A1" s="236" t="s">
        <v>234</v>
      </c>
      <c r="B1" s="236"/>
      <c r="C1" s="236"/>
      <c r="D1" s="236"/>
      <c r="E1" s="237"/>
      <c r="F1" s="237"/>
      <c r="G1" s="237"/>
      <c r="H1" s="238"/>
      <c r="I1" s="236"/>
      <c r="J1" s="236"/>
      <c r="K1" s="236"/>
    </row>
    <row r="2" spans="1:17" x14ac:dyDescent="0.25">
      <c r="A2" s="236" t="s">
        <v>235</v>
      </c>
    </row>
    <row r="3" spans="1:17" x14ac:dyDescent="0.25">
      <c r="A3" s="236" t="s">
        <v>236</v>
      </c>
      <c r="L3" s="243" t="s">
        <v>237</v>
      </c>
    </row>
    <row r="4" spans="1:17" x14ac:dyDescent="0.25">
      <c r="A4" s="244"/>
      <c r="B4" s="243" t="s">
        <v>65</v>
      </c>
      <c r="C4" s="243" t="s">
        <v>64</v>
      </c>
      <c r="D4" s="243" t="s">
        <v>69</v>
      </c>
      <c r="E4" s="243" t="s">
        <v>65</v>
      </c>
      <c r="I4" s="244"/>
      <c r="J4" s="244"/>
      <c r="K4" s="244"/>
      <c r="L4" s="243" t="s">
        <v>238</v>
      </c>
      <c r="M4" s="245"/>
    </row>
    <row r="5" spans="1:17" x14ac:dyDescent="0.25">
      <c r="A5" s="236" t="s">
        <v>239</v>
      </c>
      <c r="B5" s="243" t="s">
        <v>240</v>
      </c>
      <c r="C5" s="246">
        <v>46022</v>
      </c>
      <c r="D5" s="246">
        <v>46203</v>
      </c>
      <c r="E5" s="243" t="s">
        <v>236</v>
      </c>
      <c r="F5" s="243" t="s">
        <v>241</v>
      </c>
      <c r="G5" s="247"/>
      <c r="I5" s="244"/>
      <c r="J5" s="247"/>
      <c r="K5" s="247"/>
      <c r="L5" s="243" t="s">
        <v>69</v>
      </c>
      <c r="M5" s="245" t="s">
        <v>242</v>
      </c>
      <c r="P5" s="241" t="s">
        <v>243</v>
      </c>
    </row>
    <row r="6" spans="1:17" x14ac:dyDescent="0.25">
      <c r="A6" s="240" t="s">
        <v>244</v>
      </c>
      <c r="B6" s="248">
        <v>576276.55999999994</v>
      </c>
      <c r="C6" s="248">
        <v>391631</v>
      </c>
      <c r="D6" s="248">
        <f>C6/6*12</f>
        <v>783262</v>
      </c>
      <c r="E6" s="248">
        <f>'[1]Med Surg - Acute'!E6+'[1]Swing-SNF'!E6+[1]CSR!E6+'[1]Blood Bank'!E6+[1]Rad!E6+[1]Lab!E6+[1]Pharmacy!E6+[1]INFUSION!E6+[1]PT!E6+[1]OBS!E6+[1]Respir!E6+[1]ER!E6+'[1]Pro Fees'!E6+'[1]BM Clinic'!E6</f>
        <v>1450654.4349999998</v>
      </c>
      <c r="F6" s="248" t="e">
        <f>(+'[1]Med Surg - Acute'!F6+[1]LTC!F6+'[1]Swing-SNF'!F6+[1]Activ!F6+[1]CSR!F6+[1]Lab!F6+#REF!+[1]Rad!F6+#REF!+#REF!+[1]Pharmacy!F6+[1]Respir!F6+[1]PT!F6+[1]OBS!F6+#REF!+[1]ER!F6+'[1]Pro Fees'!F6+'[1]BM Clinic'!F6+[1]Dietary!F6+[1]Laund!F6+'[1]Soc Serv'!F6+'[1]Environmental Services'!F6+'[1]Plant Op'!F6+'[1]Business Office'!F6+#REF!+[1]IT!F6+[1]Admin!F6+'[1]Nurs Admin'!F6+'[1]Med Rec'!F6+'[1]Quality Mngt'!F6+'[1]Bad Debt Contractuals'!F6+[1]Depre!F6+'[1]Non Dept'!F6+#REF!++#REF!+[1]BOT!F6+'[1]Inf Cntrl'!F6)</f>
        <v>#VALUE!</v>
      </c>
      <c r="G6" s="249"/>
      <c r="I6" s="244"/>
      <c r="J6" s="239"/>
      <c r="K6" s="239"/>
      <c r="L6" s="239">
        <f>E6-D6</f>
        <v>667392.43499999982</v>
      </c>
      <c r="M6" s="250" t="s">
        <v>245</v>
      </c>
      <c r="N6" s="241"/>
      <c r="P6" s="241">
        <v>391630.89</v>
      </c>
      <c r="Q6" s="63">
        <f t="shared" ref="Q6:Q13" si="0">C6-P6</f>
        <v>0.10999999998603016</v>
      </c>
    </row>
    <row r="7" spans="1:17" x14ac:dyDescent="0.25">
      <c r="A7" s="240" t="s">
        <v>246</v>
      </c>
      <c r="B7" s="248">
        <v>670735.34</v>
      </c>
      <c r="C7" s="248">
        <v>305847</v>
      </c>
      <c r="D7" s="248">
        <f t="shared" ref="D7:D12" si="1">C7/6*12</f>
        <v>611694</v>
      </c>
      <c r="E7" s="248">
        <f>'[1]Med Surg - Acute'!E7+'[1]Swing-SNF'!E7+[1]CSR!E7+'[1]Blood Bank'!E7+[1]Rad!E7+[1]Lab!E7+[1]Pharmacy!E7+[1]INFUSION!E7+[1]PT!E7+[1]Respir!E7+[1]ER!E7+'[1]Pro Fees'!E7+'[1]BM Clinic'!E7</f>
        <v>901673.59200000006</v>
      </c>
      <c r="F7" s="248"/>
      <c r="G7" s="249"/>
      <c r="I7" s="244"/>
      <c r="J7" s="239"/>
      <c r="K7" s="239"/>
      <c r="L7" s="239">
        <f t="shared" ref="L7:L13" si="2">E7-D7</f>
        <v>289979.59200000006</v>
      </c>
      <c r="M7" s="250"/>
      <c r="N7" s="241"/>
      <c r="P7" s="241">
        <v>306086.34999999998</v>
      </c>
      <c r="Q7" s="63">
        <f t="shared" si="0"/>
        <v>-239.34999999997672</v>
      </c>
    </row>
    <row r="8" spans="1:17" ht="12.75" customHeight="1" x14ac:dyDescent="0.25">
      <c r="A8" s="240" t="s">
        <v>247</v>
      </c>
      <c r="B8" s="248">
        <v>5710381.2799999993</v>
      </c>
      <c r="C8" s="248">
        <v>3104357</v>
      </c>
      <c r="D8" s="248">
        <f t="shared" si="1"/>
        <v>6208714</v>
      </c>
      <c r="E8" s="248">
        <f>'[1]Med Surg - Acute'!E8+'[1]Swing-SNF'!E8+[1]LTC!E8+[1]CSR!E8+'[1]Blood Bank'!E8+[1]Rad!E8+[1]Lab!E8+[1]Pharmacy!E8+[1]INFUSION!E8+[1]PT!E8+[1]OBS!E8+[1]Respir!E8+[1]ER!E8+'[1]Pro Fees'!E8+'[1]BM Clinic'!E8</f>
        <v>6280867.0020000003</v>
      </c>
      <c r="F8" s="248" t="e">
        <f>(+'[1]Med Surg - Acute'!F8+[1]LTC!G8+'[1]Swing-SNF'!F8+[1]Activ!F7+[1]CSR!F8+[1]Lab!F8+#REF!+[1]Rad!F8+#REF!+#REF!+[1]Pharmacy!F8+[1]Respir!F8+[1]PT!F8+[1]OBS!F8+#REF!+[1]ER!F8+'[1]Pro Fees'!F8+'[1]BM Clinic'!F2+[1]Dietary!F8+[1]Laund!F7+'[1]Soc Serv'!F7+'[1]Environmental Services'!F7+'[1]Plant Op'!F7+'[1]Business Office'!F7+#REF!+[1]IT!F7+[1]Admin!F7+'[1]Nurs Admin'!F7+'[1]Med Rec'!F7+'[1]Quality Mngt'!F7+'[1]Bad Debt Contractuals'!F7+[1]Depre!F7+'[1]Non Dept'!F7+#REF!++#REF!+[1]BOT!F7+'[1]Inf Cntrl'!F7)</f>
        <v>#REF!</v>
      </c>
      <c r="G8" s="249"/>
      <c r="I8" s="244"/>
      <c r="J8" s="239"/>
      <c r="K8" s="239"/>
      <c r="L8" s="239">
        <f t="shared" si="2"/>
        <v>72153.002000000328</v>
      </c>
      <c r="M8" s="250"/>
      <c r="N8" s="241"/>
      <c r="P8" s="241">
        <v>3100550.0799999996</v>
      </c>
      <c r="Q8" s="63">
        <f t="shared" si="0"/>
        <v>3806.9200000003912</v>
      </c>
    </row>
    <row r="9" spans="1:17" ht="12.75" customHeight="1" x14ac:dyDescent="0.25">
      <c r="A9" s="240" t="s">
        <v>248</v>
      </c>
      <c r="B9" s="248">
        <v>2936965.1999999997</v>
      </c>
      <c r="C9" s="248">
        <v>1303865</v>
      </c>
      <c r="D9" s="248">
        <f t="shared" si="1"/>
        <v>2607730</v>
      </c>
      <c r="E9" s="248">
        <f>[1]LTC!E9</f>
        <v>2692218.0999999996</v>
      </c>
      <c r="F9" s="248"/>
      <c r="G9" s="249"/>
      <c r="I9" s="244"/>
      <c r="J9" s="239"/>
      <c r="K9" s="239"/>
      <c r="L9" s="239">
        <f t="shared" si="2"/>
        <v>84488.099999999627</v>
      </c>
      <c r="M9" s="250"/>
      <c r="N9" s="241"/>
      <c r="P9" s="251">
        <v>1303865.03</v>
      </c>
      <c r="Q9" s="63">
        <f t="shared" si="0"/>
        <v>-3.0000000027939677E-2</v>
      </c>
    </row>
    <row r="10" spans="1:17" ht="12.75" customHeight="1" x14ac:dyDescent="0.25">
      <c r="A10" s="240" t="s">
        <v>249</v>
      </c>
      <c r="B10" s="248">
        <v>1775000</v>
      </c>
      <c r="C10" s="248">
        <v>931577</v>
      </c>
      <c r="D10" s="248">
        <f t="shared" si="1"/>
        <v>1863154</v>
      </c>
      <c r="E10" s="248">
        <f>'[1]BM Clinic'!E10</f>
        <v>1864637.16</v>
      </c>
      <c r="F10" s="248"/>
      <c r="G10" s="249"/>
      <c r="I10" s="244"/>
      <c r="J10" s="239"/>
      <c r="K10" s="239"/>
      <c r="L10" s="239">
        <f t="shared" si="2"/>
        <v>1483.1599999999162</v>
      </c>
      <c r="M10" s="250"/>
      <c r="N10" s="241"/>
      <c r="P10" s="241">
        <v>932392.5</v>
      </c>
      <c r="Q10" s="63">
        <f t="shared" si="0"/>
        <v>-815.5</v>
      </c>
    </row>
    <row r="11" spans="1:17" ht="12.75" customHeight="1" x14ac:dyDescent="0.25">
      <c r="A11" s="240" t="s">
        <v>250</v>
      </c>
      <c r="B11" s="248">
        <v>7821698.9000000004</v>
      </c>
      <c r="C11" s="248">
        <v>4479543</v>
      </c>
      <c r="D11" s="248">
        <f t="shared" si="1"/>
        <v>8959086</v>
      </c>
      <c r="E11" s="248">
        <f>[1]CSR!E9+'[1]Blood Bank'!E9+[1]Rad!E9+[1]Lab!E9+[1]Pharmacy!E9+[1]INFUSION!E9+[1]PT!E9+[1]Respir!E9+[1]ER!E9+'[1]Pro Fees'!E9</f>
        <v>9195375.6349999998</v>
      </c>
      <c r="F11" s="248"/>
      <c r="G11" s="249"/>
      <c r="I11" s="244"/>
      <c r="J11" s="239"/>
      <c r="K11" s="239"/>
      <c r="L11" s="239">
        <f t="shared" si="2"/>
        <v>236289.63499999978</v>
      </c>
      <c r="M11" s="250"/>
      <c r="N11" s="241"/>
      <c r="P11" s="241">
        <v>4482534.26</v>
      </c>
      <c r="Q11" s="63">
        <f t="shared" si="0"/>
        <v>-2991.2599999997765</v>
      </c>
    </row>
    <row r="12" spans="1:17" ht="12.75" customHeight="1" x14ac:dyDescent="0.25">
      <c r="A12" s="240" t="s">
        <v>251</v>
      </c>
      <c r="B12" s="248">
        <v>66389.36</v>
      </c>
      <c r="C12" s="248">
        <v>156591</v>
      </c>
      <c r="D12" s="248">
        <f t="shared" si="1"/>
        <v>313182</v>
      </c>
      <c r="E12" s="248">
        <f>[1]CSR!E10+'[1]Blood Bank'!E10+[1]Rad!E10+[1]Lab!E10+[1]Pharmacy!E10+[1]INFUSION!E10+[1]PT!E10+[1]OBS!E10+[1]Respir!E10+[1]ER!E10+'[1]Pro Fees'!E10+'[1]Med Surg - Acute'!E10</f>
        <v>303617.33999999997</v>
      </c>
      <c r="F12" s="248"/>
      <c r="G12" s="249"/>
      <c r="I12" s="244"/>
      <c r="J12" s="239"/>
      <c r="K12" s="239"/>
      <c r="L12" s="239">
        <f t="shared" si="2"/>
        <v>-9564.6600000000326</v>
      </c>
      <c r="M12" s="250"/>
      <c r="N12" s="241"/>
      <c r="P12" s="241">
        <v>156352.37</v>
      </c>
      <c r="Q12" s="63">
        <f t="shared" si="0"/>
        <v>238.63000000000466</v>
      </c>
    </row>
    <row r="13" spans="1:17" ht="12.75" customHeight="1" x14ac:dyDescent="0.25">
      <c r="A13" s="236" t="s">
        <v>374</v>
      </c>
      <c r="B13" s="252">
        <v>19557446.640000001</v>
      </c>
      <c r="C13" s="252">
        <f>SUM(C6:C12)</f>
        <v>10673411</v>
      </c>
      <c r="D13" s="252">
        <f>SUM(D6:D12)</f>
        <v>21346822</v>
      </c>
      <c r="E13" s="252">
        <f>SUM(E6:E12)</f>
        <v>22689043.263999999</v>
      </c>
      <c r="F13" s="252" t="e">
        <f>+F6+F8</f>
        <v>#VALUE!</v>
      </c>
      <c r="G13" s="249"/>
      <c r="J13" s="239"/>
      <c r="K13" s="239"/>
      <c r="L13" s="252">
        <f t="shared" si="2"/>
        <v>1342221.2639999986</v>
      </c>
      <c r="M13" s="250"/>
      <c r="N13" s="250"/>
      <c r="P13" s="241">
        <v>10673411.479999999</v>
      </c>
      <c r="Q13" s="63">
        <f t="shared" si="0"/>
        <v>-0.47999999858438969</v>
      </c>
    </row>
    <row r="14" spans="1:17" x14ac:dyDescent="0.25">
      <c r="F14" s="253"/>
      <c r="J14" s="239"/>
      <c r="K14" s="239"/>
      <c r="L14" s="99"/>
      <c r="M14" s="254"/>
      <c r="N14" s="100"/>
    </row>
    <row r="15" spans="1:17" x14ac:dyDescent="0.25">
      <c r="A15" s="240" t="s">
        <v>252</v>
      </c>
      <c r="B15" s="237">
        <v>6356170.1580000008</v>
      </c>
      <c r="C15" s="237">
        <v>3459910.78</v>
      </c>
      <c r="D15" s="255">
        <f>C15/6*12</f>
        <v>6919821.5599999996</v>
      </c>
      <c r="E15" s="255">
        <f>E13*E16</f>
        <v>8281500.7913599992</v>
      </c>
      <c r="F15" s="256">
        <v>0</v>
      </c>
      <c r="G15" s="249"/>
      <c r="J15" s="239"/>
      <c r="K15" s="239"/>
      <c r="L15" s="101"/>
      <c r="M15" s="102" t="s">
        <v>148</v>
      </c>
      <c r="N15" s="103"/>
    </row>
    <row r="16" spans="1:17" hidden="1" x14ac:dyDescent="0.25">
      <c r="B16" s="104">
        <f>B15/B13</f>
        <v>0.32500000000000001</v>
      </c>
      <c r="C16" s="104">
        <f>C15/C13</f>
        <v>0.32416167427638642</v>
      </c>
      <c r="D16" s="104">
        <f>D15/D13</f>
        <v>0.32416167427638642</v>
      </c>
      <c r="E16" s="105">
        <v>0.36499999999999999</v>
      </c>
      <c r="G16" s="249"/>
      <c r="J16" s="239"/>
      <c r="K16" s="239"/>
      <c r="L16" s="247"/>
      <c r="M16" s="106" t="s">
        <v>143</v>
      </c>
      <c r="N16" s="63" t="s">
        <v>253</v>
      </c>
    </row>
    <row r="17" spans="1:19" x14ac:dyDescent="0.25">
      <c r="A17" s="240" t="s">
        <v>51</v>
      </c>
      <c r="B17" s="257">
        <f>'[1]Bad Debt Contractuals (2)'!B25</f>
        <v>1075660</v>
      </c>
      <c r="C17" s="257">
        <f>'[1]Bad Debt Contractuals (2)'!C25</f>
        <v>388642.28</v>
      </c>
      <c r="D17" s="257">
        <f>'[1]Bad Debt Contractuals (2)'!D25</f>
        <v>777284.56</v>
      </c>
      <c r="E17" s="257">
        <f>E13*E18</f>
        <v>1247897.37952</v>
      </c>
      <c r="G17" s="249"/>
      <c r="J17" s="239"/>
      <c r="K17" s="239"/>
      <c r="L17" s="247"/>
      <c r="M17" s="106"/>
      <c r="N17" s="63"/>
    </row>
    <row r="18" spans="1:19" hidden="1" x14ac:dyDescent="0.25">
      <c r="B18" s="104"/>
      <c r="C18" s="104"/>
      <c r="D18" s="104"/>
      <c r="E18" s="105">
        <v>5.5E-2</v>
      </c>
      <c r="G18" s="249"/>
      <c r="J18" s="239"/>
      <c r="K18" s="239"/>
      <c r="L18" s="247"/>
      <c r="M18" s="106"/>
      <c r="N18" s="63"/>
    </row>
    <row r="19" spans="1:19" x14ac:dyDescent="0.25">
      <c r="A19" s="236" t="s">
        <v>375</v>
      </c>
      <c r="B19" s="258">
        <f>B15+B17</f>
        <v>7431830.1580000008</v>
      </c>
      <c r="C19" s="258">
        <f t="shared" ref="C19:E19" si="3">C15+C17</f>
        <v>3848553.0599999996</v>
      </c>
      <c r="D19" s="258">
        <f t="shared" si="3"/>
        <v>7697106.1199999992</v>
      </c>
      <c r="E19" s="258">
        <f t="shared" si="3"/>
        <v>9529398.1708799992</v>
      </c>
      <c r="G19" s="249"/>
      <c r="J19" s="239"/>
      <c r="K19" s="239"/>
      <c r="L19" s="247"/>
      <c r="M19" s="106"/>
      <c r="N19" s="63"/>
    </row>
    <row r="20" spans="1:19" x14ac:dyDescent="0.25">
      <c r="A20" s="236"/>
      <c r="B20" s="258"/>
      <c r="C20" s="258"/>
      <c r="D20" s="258"/>
      <c r="E20" s="258"/>
      <c r="G20" s="249"/>
      <c r="J20" s="239"/>
      <c r="K20" s="239"/>
      <c r="L20" s="247"/>
      <c r="M20" s="106"/>
      <c r="N20" s="63"/>
    </row>
    <row r="21" spans="1:19" x14ac:dyDescent="0.25">
      <c r="A21" s="236" t="s">
        <v>254</v>
      </c>
      <c r="B21" s="256">
        <f>B13-B19</f>
        <v>12125616.482000001</v>
      </c>
      <c r="C21" s="256">
        <f t="shared" ref="C21:E21" si="4">C13-C19</f>
        <v>6824857.9400000004</v>
      </c>
      <c r="D21" s="256">
        <f t="shared" si="4"/>
        <v>13649715.880000001</v>
      </c>
      <c r="E21" s="256">
        <f t="shared" si="4"/>
        <v>13159645.093119999</v>
      </c>
      <c r="F21" s="256" t="e">
        <f>+F13-F15</f>
        <v>#VALUE!</v>
      </c>
      <c r="G21" s="249"/>
      <c r="H21" s="242" t="e">
        <f>E21-#REF!</f>
        <v>#REF!</v>
      </c>
      <c r="J21" s="239" t="e">
        <f>H21</f>
        <v>#REF!</v>
      </c>
      <c r="K21" s="239"/>
      <c r="L21" s="107"/>
      <c r="M21" s="106" t="s">
        <v>141</v>
      </c>
      <c r="N21" s="63" t="s">
        <v>255</v>
      </c>
    </row>
    <row r="22" spans="1:19" x14ac:dyDescent="0.25">
      <c r="C22" s="259"/>
      <c r="G22" s="249"/>
      <c r="J22" s="239"/>
      <c r="K22" s="239"/>
      <c r="N22" s="63"/>
      <c r="P22" s="63"/>
      <c r="R22" s="260">
        <f>C27-Q26</f>
        <v>0</v>
      </c>
    </row>
    <row r="23" spans="1:19" x14ac:dyDescent="0.25">
      <c r="A23" s="236" t="s">
        <v>256</v>
      </c>
      <c r="B23" s="261">
        <v>660830</v>
      </c>
      <c r="C23" s="262">
        <f>'[1]Other Op Rev'!H57</f>
        <v>560179.76</v>
      </c>
      <c r="D23" s="261">
        <f>C23/6*12</f>
        <v>1120359.52</v>
      </c>
      <c r="E23" s="108">
        <f>'[1]Other Op Rev'!J58</f>
        <v>584500</v>
      </c>
      <c r="F23" s="261">
        <v>0</v>
      </c>
      <c r="J23" s="239"/>
      <c r="K23" s="239"/>
      <c r="M23" s="239"/>
      <c r="N23" s="63"/>
      <c r="R23" s="260">
        <f>C31-Q35</f>
        <v>0</v>
      </c>
    </row>
    <row r="24" spans="1:19" x14ac:dyDescent="0.25">
      <c r="A24" s="236" t="s">
        <v>376</v>
      </c>
      <c r="B24" s="239">
        <v>13862106.482000001</v>
      </c>
      <c r="C24" s="239">
        <f>C21+C23</f>
        <v>7385037.7000000002</v>
      </c>
      <c r="D24" s="239">
        <f>D21+D23</f>
        <v>14770075.4</v>
      </c>
      <c r="E24" s="239">
        <f>E21+E23</f>
        <v>13744145.093119999</v>
      </c>
      <c r="G24" s="249"/>
      <c r="I24" s="243"/>
      <c r="J24" s="243"/>
      <c r="K24" s="243"/>
      <c r="N24" s="63"/>
      <c r="P24" s="63"/>
    </row>
    <row r="25" spans="1:19" x14ac:dyDescent="0.25">
      <c r="A25" s="236" t="s">
        <v>257</v>
      </c>
      <c r="B25" s="243"/>
      <c r="C25" s="243"/>
      <c r="D25" s="243"/>
      <c r="E25" s="243"/>
      <c r="F25" s="243" t="s">
        <v>241</v>
      </c>
      <c r="N25" s="63"/>
    </row>
    <row r="26" spans="1:19" x14ac:dyDescent="0.25">
      <c r="A26" s="240" t="s">
        <v>258</v>
      </c>
      <c r="B26" s="248">
        <v>8709274.0457402319</v>
      </c>
      <c r="C26" s="248">
        <f>[1]ER!C14+'[1]Med Surg - Acute'!C14+[1]LTC!C14+[1]CSR!C14+[1]PT!C14+[1]Respir!C14+[1]Rad!C14+[1]Lab!C14+'[1]BM Clinic'!C15+[1]Pharmacy!C16+[1]Dietary!C14+'[1]Soc Serv'!C11+[1]Activ!C11+[1]Laund!C11+'[1]Environmental Services'!C11+'[1]Plant Op'!C11+'[1]Business Office'!C11+'[1]Med Rec'!C11+[1]IT!C11+[1]Admin!C11+'[1]Nurs Admin'!C11+[1]Finance!C11+'[1]Quality Mngt'!C11+[1]HR!C11+'[1]Inf Cntrl'!C11</f>
        <v>3790774.8999999994</v>
      </c>
      <c r="D26" s="263">
        <f>C26/6*12</f>
        <v>7581549.7999999989</v>
      </c>
      <c r="E26" s="263">
        <f>'[1]Med Surg - Acute'!E14+[1]LTC!E14+[1]CSR!E14+[1]Rad!E14+[1]Lab!E14+[1]Pharmacy!E16+[1]Respir!E14+[1]ER!E14+'[1]BM Clinic'!E15+[1]Dietary!E14+[1]Laund!E11+'[1]Soc Serv'!E11+[1]Activ!E11+'[1]Environmental Services'!E11+'[1]Plant Op'!E11+'[1]Business Office'!E11+[1]IT!E11+[1]Finance!E11+[1]Admin!E11+'[1]Med Rec'!E11+'[1]Nurs Admin'!E11+'[1]Quality Mngt'!E11+[1]HR!E11+'[1]Inf Cntrl'!E11+[1]BOT!E11+[1]PT!E14</f>
        <v>9637896.2705678586</v>
      </c>
      <c r="F26" s="248" t="e">
        <f>(+'[1]Med Surg - Acute'!F14+[1]LTC!F14+'[1]Swing-SNF'!F14+[1]Activ!F11+[1]CSR!F14+[1]Lab!F14+#REF!+[1]Rad!F14+#REF!+#REF!+[1]Pharmacy!F16+[1]Respir!F14+[1]PT!F14+[1]OBS!F14+#REF!+[1]ER!F14+'[1]Pro Fees'!F14+'[1]BM Clinic'!F15+[1]Dietary!F14+[1]Laund!F11+'[1]Soc Serv'!F11+'[1]Environmental Services'!F11+'[1]Plant Op'!F11+'[1]Business Office'!F11+#REF!+[1]IT!F11+[1]Admin!F11+'[1]Nurs Admin'!F11+'[1]Med Rec'!F11+'[1]Quality Mngt'!F11+'[1]Bad Debt Contractuals'!F11+[1]Depre!F11+'[1]Non Dept'!F11+#REF!+#REF!+[1]BOT!F11+'[1]Inf Cntrl'!F11)</f>
        <v>#REF!</v>
      </c>
      <c r="G26" s="247">
        <f>E26/12</f>
        <v>803158.02254732151</v>
      </c>
      <c r="I26" s="244"/>
      <c r="L26" s="109" t="s">
        <v>259</v>
      </c>
      <c r="M26" s="110">
        <f>E26-D26</f>
        <v>2056346.4705678597</v>
      </c>
      <c r="N26" s="111">
        <f>M26/D26</f>
        <v>0.2712303585432968</v>
      </c>
      <c r="P26" s="241" t="s">
        <v>12</v>
      </c>
      <c r="Q26" s="63">
        <f>SUM(Q27:Q29)</f>
        <v>1614498.41</v>
      </c>
      <c r="R26" s="260">
        <f>Q26-C27</f>
        <v>0</v>
      </c>
      <c r="S26" s="260"/>
    </row>
    <row r="27" spans="1:19" x14ac:dyDescent="0.25">
      <c r="A27" s="240" t="s">
        <v>12</v>
      </c>
      <c r="B27" s="248">
        <v>2999255.7031006804</v>
      </c>
      <c r="C27" s="248">
        <f>Q26</f>
        <v>1614498.41</v>
      </c>
      <c r="D27" s="248">
        <f t="shared" ref="D27:D44" si="5">C27/6*12</f>
        <v>3228996.8199999994</v>
      </c>
      <c r="E27" s="248">
        <f>'[1]Med Surg - Acute'!E15+[1]LTC!E15+[1]CSR!E15+[1]Rad!E15+[1]Lab!E15+[1]Pharmacy!E17+[1]Respir!E15+[1]ER!E15+'[1]BM Clinic'!E16+[1]Dietary!E15+[1]Laund!E12+'[1]Soc Serv'!E12+[1]Activ!E12+'[1]Environmental Services'!E12+'[1]Plant Op'!E12+'[1]Business Office'!E12+[1]IT!E12+[1]Finance!E12+[1]Admin!E12+'[1]Med Rec'!E12+'[1]Nurs Admin'!E12+'[1]Quality Mngt'!E12+[1]HR!E12+'[1]Inf Cntrl'!E12+[1]BOT!E12+'[1]Non Dept'!J39+'[1]Non Dept'!J42+[1]PT!E15</f>
        <v>3197467.8294322281</v>
      </c>
      <c r="F27" s="248" t="e">
        <f>(+'[1]Med Surg - Acute'!F15+[1]LTC!F15+'[1]Swing-SNF'!F15+[1]Activ!F12+[1]CSR!F15+[1]Lab!F15+#REF!+[1]Rad!F15+#REF!+#REF!+[1]Pharmacy!F17+[1]Respir!F15+[1]PT!F15+[1]OBS!F15+#REF!+[1]ER!F15+'[1]Pro Fees'!F15+'[1]BM Clinic'!F16+[1]Dietary!F15+[1]Laund!F12+'[1]Soc Serv'!F12+'[1]Environmental Services'!F12+'[1]Plant Op'!F12+'[1]Business Office'!F12+#REF!+[1]IT!F12+[1]Admin!F12+'[1]Nurs Admin'!F12+'[1]Med Rec'!F12+'[1]Quality Mngt'!F12+'[1]Bad Debt Contractuals'!F12+[1]Depre!F12+'[1]Non Dept'!F12+#REF!+#REF!+[1]BOT!F12+'[1]Inf Cntrl'!F12)</f>
        <v>#REF!</v>
      </c>
      <c r="G27" s="249"/>
      <c r="H27" s="242">
        <f>(E26+E27)-(D26+D27)</f>
        <v>2024817.4800000899</v>
      </c>
      <c r="I27" s="248"/>
      <c r="J27" s="112"/>
      <c r="K27" s="112"/>
      <c r="L27" s="107"/>
      <c r="M27" s="110">
        <f>E27-D27</f>
        <v>-31528.990567771252</v>
      </c>
      <c r="N27" s="103"/>
      <c r="P27" s="241" t="s">
        <v>12</v>
      </c>
      <c r="Q27" s="74">
        <v>1597556.97</v>
      </c>
      <c r="R27" s="260"/>
      <c r="S27" s="260"/>
    </row>
    <row r="28" spans="1:19" x14ac:dyDescent="0.25">
      <c r="A28" s="240" t="s">
        <v>260</v>
      </c>
      <c r="B28" s="248">
        <v>0</v>
      </c>
      <c r="C28" s="248"/>
      <c r="D28" s="248">
        <f t="shared" si="5"/>
        <v>0</v>
      </c>
      <c r="E28" s="248">
        <v>0</v>
      </c>
      <c r="F28" s="248" t="e">
        <f>(+'[1]Med Surg - Acute'!F16+[1]LTC!F16+'[1]Swing-SNF'!F16+[1]Activ!F13+[1]CSR!P70+[1]Lab!F16+#REF!+[1]Rad!F16+#REF!+#REF!+[1]Pharmacy!F18+[1]Respir!F16+[1]PT!F16+[1]OBS!F16+#REF!+[1]ER!F16+'[1]Pro Fees'!F16+'[1]BM Clinic'!F17+[1]Dietary!F16+[1]Laund!F13+'[1]Soc Serv'!F13+'[1]Environmental Services'!F13+'[1]Plant Op'!F13+'[1]Business Office'!F13+#REF!+[1]IT!F13+[1]Admin!F13+'[1]Nurs Admin'!F13+'[1]Med Rec'!F13+'[1]Quality Mngt'!F13+'[1]Bad Debt Contractuals'!F13+[1]Depre!F13+'[1]Non Dept'!F13+#REF!+#REF!+[1]BOT!F13+'[1]Inf Cntrl'!F13)</f>
        <v>#REF!</v>
      </c>
      <c r="G28" s="248">
        <f>E28/12</f>
        <v>0</v>
      </c>
      <c r="I28" s="248"/>
      <c r="J28" s="239"/>
      <c r="K28" s="239"/>
      <c r="L28" s="107"/>
      <c r="M28" s="63"/>
      <c r="P28" s="241" t="s">
        <v>261</v>
      </c>
      <c r="Q28" s="63">
        <v>1225.7</v>
      </c>
      <c r="R28" s="260"/>
      <c r="S28" s="260"/>
    </row>
    <row r="29" spans="1:19" x14ac:dyDescent="0.25">
      <c r="A29" s="240" t="s">
        <v>34</v>
      </c>
      <c r="B29" s="248">
        <v>1881756</v>
      </c>
      <c r="C29" s="248">
        <f>'[1]Med Surg - Acute'!C17+[1]LTC!C17+[1]CSR!C17+'[1]Blood Bank'!C17+[1]Rad!C17+[1]Lab!C17+[1]Pharmacy!C19+[1]PT!C17+[1]Respir!C17+[1]ER!C17+'[1]BM Clinic'!C18+[1]Dietary!C17+'[1]Soc Serv'!C14+[1]Activ!C14+'[1]Business Office'!C14+[1]IT!C14+[1]Finance!C14+[1]Admin!C14+'[1]Med Rec'!C14+'[1]Inf Cntrl'!C14+[1]BOT!C14+[1]JPHSC!C14+'[1]Non Dept'!C14</f>
        <v>1214963.6200000001</v>
      </c>
      <c r="D29" s="248">
        <f t="shared" si="5"/>
        <v>2429927.2400000002</v>
      </c>
      <c r="E29" s="248">
        <f>'[1]Med Surg - Acute'!E17+[1]LTC!E17+[1]CSR!E17+'[1]Blood Bank'!E17+[1]Rad!E17+[1]Lab!E17+[1]Pharmacy!E19+[1]PT!E17+[1]Respir!E17+[1]ER!E17+'[1]BM Clinic'!E18+[1]Dietary!E17+'[1]Soc Serv'!E14+[1]Activ!E14+'[1]Business Office'!E14+[1]IT!E14+[1]Finance!E14+[1]Admin!E14+'[1]Med Rec'!E14+'[1]Inf Cntrl'!E14+[1]BOT!E14+[1]JPHSC!E14+'[1]Non Dept'!E14</f>
        <v>2138756</v>
      </c>
      <c r="F29" s="248" t="e">
        <f>(+'[1]Med Surg - Acute'!F17+[1]LTC!F17+'[1]Swing-SNF'!F17+[1]Activ!F14+[1]CSR!F16+[1]Lab!F17+#REF!+[1]Rad!F17+#REF!+#REF!+[1]Pharmacy!F19+[1]Respir!F17+[1]PT!F17+[1]OBS!F17+#REF!+[1]ER!F17+'[1]Pro Fees'!F17+'[1]BM Clinic'!F18+[1]Dietary!#REF!+[1]Laund!F14+'[1]Soc Serv'!F14+'[1]Environmental Services'!F14+'[1]Plant Op'!F14+'[1]Business Office'!F14+#REF!+[1]IT!F14+[1]Admin!F14+'[1]Nurs Admin'!F14+'[1]Med Rec'!F14+'[1]Quality Mngt'!F14+'[1]Bad Debt Contractuals'!F14+[1]Depre!F14+'[1]Non Dept'!F14+#REF!+#REF!+[1]BOT!F14+'[1]Inf Cntrl'!F14)</f>
        <v>#REF!</v>
      </c>
      <c r="G29" s="248"/>
      <c r="I29" s="248"/>
      <c r="J29" s="239"/>
      <c r="K29" s="239"/>
      <c r="L29" s="107"/>
      <c r="M29" s="113"/>
      <c r="P29" s="241" t="s">
        <v>262</v>
      </c>
      <c r="Q29" s="63">
        <v>15715.74</v>
      </c>
      <c r="R29" s="260"/>
      <c r="S29" s="260"/>
    </row>
    <row r="30" spans="1:19" x14ac:dyDescent="0.25">
      <c r="A30" s="240" t="s">
        <v>263</v>
      </c>
      <c r="B30" s="248">
        <v>1162360</v>
      </c>
      <c r="C30" s="248">
        <f>'[1]Med Surg - Acute'!C18+[1]LTC!C18+[1]CSR!C18+'[1]Blood Bank'!C18+[1]Rad!C18+[1]Lab!C18+[1]Pharmacy!C20+[1]PT!C18+[1]Respir!C18+[1]ER!C18+'[1]BM Clinic'!C19+'[1]King Clinic'!C18+[1]Dietary!C18+[1]Laund!C15+'[1]Soc Serv'!C15+[1]Activ!C15+'[1]Environmental Services'!C15+'[1]Plant Op'!C15+'[1]Business Office'!C15+[1]IT!C15+[1]Finance!C15+[1]Admin!C15+'[1]Med Rec'!C15+'[1]Nurs Admin'!C15+'[1]Quality Mngt'!C15+[1]HR!C15+'[1]Inf Cntrl'!C15+[1]BOT!C15+[1]JPHSC!C15</f>
        <v>626260.38</v>
      </c>
      <c r="D30" s="248">
        <f t="shared" si="5"/>
        <v>1252520.76</v>
      </c>
      <c r="E30" s="248">
        <f>'[1]Med Surg - Acute'!E18+[1]LTC!E18+[1]CSR!E18+'[1]Blood Bank'!E18+[1]Rad!E18+[1]Lab!E18+[1]Pharmacy!E20+[1]PT!E18+[1]Respir!E18+[1]ER!E18+'[1]BM Clinic'!E19+'[1]King Clinic'!E18+[1]Dietary!E18+[1]Laund!E15+'[1]Soc Serv'!E15+[1]Activ!E15+'[1]Environmental Services'!E15+'[1]Plant Op'!E15+'[1]Business Office'!E15+[1]IT!E15+[1]Finance!E15+[1]Admin!E15+'[1]Med Rec'!E15+'[1]Nurs Admin'!E15+'[1]Quality Mngt'!E15+[1]HR!E15+'[1]Inf Cntrl'!E15+[1]BOT!E15+[1]JPHSC!E15</f>
        <v>1305145.98</v>
      </c>
      <c r="F30" s="248"/>
      <c r="G30" s="248"/>
      <c r="I30" s="248"/>
      <c r="J30" s="239"/>
      <c r="K30" s="239"/>
      <c r="L30" s="107"/>
      <c r="M30" s="239"/>
      <c r="R30" s="260"/>
      <c r="S30" s="260"/>
    </row>
    <row r="31" spans="1:19" x14ac:dyDescent="0.25">
      <c r="A31" s="240" t="s">
        <v>264</v>
      </c>
      <c r="B31" s="248">
        <v>1181610</v>
      </c>
      <c r="C31" s="248">
        <f>Q35</f>
        <v>813153.35000000009</v>
      </c>
      <c r="D31" s="248">
        <f t="shared" si="5"/>
        <v>1626306.7000000002</v>
      </c>
      <c r="E31" s="248">
        <f>'[1]Med Surg - Acute'!E19+[1]LTC!E19+[1]CSR!E19+'[1]Blood Bank'!E19+[1]Rad!E19+[1]Lab!E19+[1]Pharmacy!E21+[1]PT!E19+[1]Respir!E19+[1]ER!E19+'[1]BM Clinic'!E20+'[1]King Clinic'!E19+[1]Dietary!E19+[1]Laund!E16+'[1]Soc Serv'!E16+[1]Activ!E16+'[1]Environmental Services'!E16+'[1]Plant Op'!E16+'[1]Business Office'!E16+[1]IT!E16+[1]Finance!E16+[1]Admin!E16+'[1]Med Rec'!E16+'[1]Nurs Admin'!E16+'[1]Quality Mngt'!E16+[1]HR!E16+'[1]Inf Cntrl'!E16+[1]BOT!E16+[1]JPHSC!E16</f>
        <v>1494654.3599999999</v>
      </c>
      <c r="F31" s="248" t="e">
        <f>(+'[1]Med Surg - Acute'!F19+[1]LTC!F19+'[1]Swing-SNF'!F19+[1]Activ!F15+[1]CSR!#REF!+[1]Lab!F19+#REF!+[1]Rad!F19+#REF!+#REF!+[1]Pharmacy!F21+[1]Respir!F19+[1]PT!F19+[1]OBS!F19+#REF!+[1]ER!F19+'[1]Pro Fees'!F19+'[1]BM Clinic'!F20+[1]Dietary!F17+[1]Laund!F16+'[1]Soc Serv'!F16+'[1]Environmental Services'!F16+'[1]Plant Op'!F16+'[1]Business Office'!F16+#REF!+[1]IT!F16+[1]Admin!F16+'[1]Nurs Admin'!F16+'[1]Med Rec'!F16+'[1]Quality Mngt'!F16+'[1]Bad Debt Contractuals'!F16+[1]Depre!F16+'[1]Non Dept'!F16+#REF!+#REF!+[1]BOT!F16+'[1]Inf Cntrl'!F16)</f>
        <v>#REF!</v>
      </c>
      <c r="G31" s="114">
        <f>E31/12</f>
        <v>124554.52999999998</v>
      </c>
      <c r="I31" s="248"/>
      <c r="J31" s="239"/>
      <c r="K31" s="239"/>
      <c r="L31" s="107"/>
      <c r="M31" s="239"/>
      <c r="N31" s="239"/>
      <c r="P31" s="241" t="str">
        <f>A29</f>
        <v>Professional Fees</v>
      </c>
      <c r="Q31" s="63">
        <f>SUM(Q32:Q34)+S32+S33</f>
        <v>1214963.6199999999</v>
      </c>
      <c r="R31" s="260">
        <f>Q31-C29</f>
        <v>0</v>
      </c>
      <c r="S31" s="260"/>
    </row>
    <row r="32" spans="1:19" x14ac:dyDescent="0.25">
      <c r="A32" s="240" t="s">
        <v>28</v>
      </c>
      <c r="B32" s="248">
        <v>108440</v>
      </c>
      <c r="C32" s="248">
        <f>'[1]Med Surg - Acute'!C20+[1]LTC!C20+[1]CSR!C20+[1]Rad!C20+[1]Lab!C20+[1]Pharmacy!C22+[1]PT!C20+[1]Respir!C20+[1]ER!C20+'[1]BM Clinic'!C21+[1]Dietary!C20+[1]Laund!C17+'[1]Soc Serv'!C17+[1]Activ!C17+'[1]Environmental Services'!C17+'[1]Plant Op'!C17+'[1]Business Office'!C17+[1]IT!C17+[1]Finance!C17+[1]Admin!C17+'[1]Med Rec'!C17+'[1]Nurs Admin'!C17+'[1]Quality Mngt'!C17+[1]HR!C17+'[1]Inf Cntrl'!C17+[1]BOT!C17+[1]JPHSC!C17</f>
        <v>30879.82</v>
      </c>
      <c r="D32" s="248">
        <f t="shared" si="5"/>
        <v>61759.64</v>
      </c>
      <c r="E32" s="248">
        <f>'[1]Med Surg - Acute'!E20+[1]LTC!E20+[1]CSR!E20+[1]Rad!E20+[1]Lab!E20+[1]Pharmacy!E22+[1]PT!E20+[1]Respir!E20+[1]ER!E20+'[1]BM Clinic'!E21+[1]Dietary!E20+[1]Laund!E17+'[1]Soc Serv'!E17+[1]Activ!E17+'[1]Environmental Services'!E17+'[1]Plant Op'!E17+'[1]Business Office'!E17+[1]IT!E17+[1]Finance!E17+[1]Admin!E17+'[1]Med Rec'!E17+'[1]Nurs Admin'!E17+'[1]Quality Mngt'!E17+[1]HR!E17+'[1]Inf Cntrl'!E17+[1]BOT!E17+[1]JPHSC!E17</f>
        <v>122540</v>
      </c>
      <c r="F32" s="248" t="e">
        <f>(+'[1]Med Surg - Acute'!F20+[1]LTC!F20+'[1]Swing-SNF'!F20+[1]Activ!F17+[1]CSR!#REF!+[1]Lab!F20+#REF!+[1]Rad!F20+#REF!+#REF!+[1]Pharmacy!F22+[1]Respir!F20+[1]PT!F20+[1]OBS!F20+#REF!+[1]ER!F20+'[1]Pro Fees'!F20+'[1]BM Clinic'!F21+[1]Dietary!F20+[1]Laund!F17+'[1]Soc Serv'!F17+'[1]Environmental Services'!F17+'[1]Plant Op'!F17+'[1]Business Office'!F17+#REF!+[1]IT!F17+[1]Admin!F17+'[1]Nurs Admin'!F17+'[1]Med Rec'!F17+'[1]Quality Mngt'!F17+'[1]Bad Debt Contractuals'!F17+[1]Depre!F17+'[1]Non Dept'!F17+#REF!+#REF!+[1]BOT!F17+'[1]Inf Cntrl'!F17)</f>
        <v>#REF!</v>
      </c>
      <c r="G32" s="249"/>
      <c r="I32" s="248"/>
      <c r="J32" s="239"/>
      <c r="K32" s="239"/>
      <c r="L32" s="107"/>
      <c r="M32" s="239"/>
      <c r="N32" s="264"/>
      <c r="P32" s="68" t="s">
        <v>265</v>
      </c>
      <c r="Q32" s="63">
        <v>6563.31</v>
      </c>
      <c r="R32" s="260" t="s">
        <v>266</v>
      </c>
      <c r="S32" s="260">
        <v>52188.54</v>
      </c>
    </row>
    <row r="33" spans="1:19" x14ac:dyDescent="0.25">
      <c r="A33" s="240" t="s">
        <v>267</v>
      </c>
      <c r="B33" s="248">
        <v>263007</v>
      </c>
      <c r="C33" s="248">
        <f>'[1]Med Surg - Acute'!C21+[1]LTC!C21+[1]CSR!C21+[1]Rad!C21+[1]Lab!C21+[1]Pharmacy!C23+[1]PT!C21+[1]Respir!C21+[1]ER!C21+'[1]BM Clinic'!C22+'[1]King Clinic'!C21+[1]Dietary!C21+[1]Laund!C18+'[1]Soc Serv'!C18+[1]Activ!C18+'[1]Environmental Services'!C18+'[1]Plant Op'!C18+'[1]Business Office'!C18+[1]IT!C18+[1]Finance!C18+[1]Admin!C18+'[1]Med Rec'!C18+'[1]Nurs Admin'!C18+'[1]Quality Mngt'!C18+[1]HR!C18+'[1]Inf Cntrl'!C18+[1]BOT!C18+[1]JPHSC!C18</f>
        <v>73684.25</v>
      </c>
      <c r="D33" s="248">
        <f t="shared" si="5"/>
        <v>147368.5</v>
      </c>
      <c r="E33" s="248">
        <f>'[1]Med Surg - Acute'!E21+[1]LTC!E21+[1]CSR!E21+[1]Rad!E21+[1]Lab!E21+[1]Pharmacy!E23+[1]PT!E21+[1]Respir!E21+[1]ER!E21+'[1]BM Clinic'!E22+'[1]King Clinic'!E21+[1]Dietary!E21+[1]Laund!E18+'[1]Soc Serv'!E18+[1]Activ!E18+'[1]Environmental Services'!E18+'[1]Plant Op'!E18+'[1]Business Office'!E18+[1]IT!E18+[1]Finance!E18+[1]Admin!E18+'[1]Med Rec'!E18+'[1]Nurs Admin'!E18+'[1]Quality Mngt'!E18+[1]HR!E18+'[1]Inf Cntrl'!E18+[1]BOT!E18+[1]JPHSC!E18</f>
        <v>265137.44</v>
      </c>
      <c r="F33" s="248" t="e">
        <f>(+'[1]Med Surg - Acute'!F21+[1]LTC!F21+'[1]Swing-SNF'!F21+[1]Activ!F18+[1]CSR!#REF!+[1]Lab!F21+#REF!+[1]Rad!F21+#REF!+#REF!+[1]Pharmacy!F23+[1]Respir!F21+[1]PT!F21+[1]OBS!F21+#REF!+[1]ER!F21+'[1]Pro Fees'!F21+'[1]BM Clinic'!#REF!+[1]Dietary!F21+[1]Laund!F18+'[1]Soc Serv'!F18+'[1]Environmental Services'!F18+'[1]Plant Op'!F18+'[1]Business Office'!F18+#REF!+[1]IT!F18+[1]Admin!F18+'[1]Nurs Admin'!F18+'[1]Med Rec'!F18+'[1]Quality Mngt'!F18+'[1]Bad Debt Contractuals'!F18+[1]Depre!F18+'[1]Non Dept'!F18+#REF!+#REF!+[1]BOT!F18+'[1]Inf Cntrl'!F18)</f>
        <v>#REF!</v>
      </c>
      <c r="G33" s="249"/>
      <c r="I33" s="248"/>
      <c r="J33" s="239"/>
      <c r="K33" s="239"/>
      <c r="L33" s="107"/>
      <c r="M33" s="239"/>
      <c r="P33" s="241" t="s">
        <v>268</v>
      </c>
      <c r="Q33" s="63">
        <v>1128736.3899999999</v>
      </c>
      <c r="R33" s="260" t="s">
        <v>269</v>
      </c>
      <c r="S33" s="260">
        <v>12092</v>
      </c>
    </row>
    <row r="34" spans="1:19" ht="15.75" thickBot="1" x14ac:dyDescent="0.3">
      <c r="A34" s="240" t="s">
        <v>270</v>
      </c>
      <c r="B34" s="248">
        <v>69126</v>
      </c>
      <c r="C34" s="248">
        <f>'[1]Med Surg - Acute'!C22+[1]LTC!C22+[1]CSR!C22+'[1]Blood Bank'!C22+[1]Rad!C22+[1]Lab!C22+[1]Pharmacy!C24+[1]Respir!C22+[1]ER!C22+'[1]BM Clinic'!C23+'[1]King Clinic'!C22+[1]Dietary!C22+[1]Laund!C19+'[1]Soc Serv'!C19+[1]Activ!C19+'[1]Environmental Services'!C19+'[1]Plant Op'!C19+'[1]Business Office'!C19+[1]IT!C19+[1]Finance!C19+[1]Admin!C19+'[1]Med Rec'!C19+'[1]Quality Mngt'!C19+[1]HR!C19+'[1]Inf Cntrl'!C19+[1]BOT!C19+[1]JPHSC!C19</f>
        <v>35900.71</v>
      </c>
      <c r="D34" s="248">
        <f t="shared" si="5"/>
        <v>71801.42</v>
      </c>
      <c r="E34" s="248">
        <f>'[1]Med Surg - Acute'!E22+[1]LTC!E22+[1]CSR!E22+'[1]Blood Bank'!E22+[1]Rad!E22+[1]Lab!E22+[1]Pharmacy!E24+[1]Respir!E22+[1]ER!E22+'[1]BM Clinic'!E23+'[1]King Clinic'!E22+[1]Dietary!E22+[1]Laund!E19+'[1]Soc Serv'!E19+[1]Activ!E19+'[1]Environmental Services'!E19+'[1]Plant Op'!E19+'[1]Business Office'!E19+[1]IT!E19+[1]Finance!E19+[1]Admin!E19+'[1]Med Rec'!E19+'[1]Quality Mngt'!E19+[1]HR!E19+'[1]Inf Cntrl'!E19+[1]BOT!E19+[1]JPHSC!E19</f>
        <v>71400</v>
      </c>
      <c r="F34" s="248" t="e">
        <f>'[1]Med Surg - Acute'!F22+'[1]Swing-SNF'!F22+[1]LTC!F22+[1]CSR!F22+[1]Lab!F22+'[1]Blood Bank'!F22+#REF!+[1]Rad!F22+#REF!+#REF!+#REF!+[1]Pharmacy!F24+[1]INFUSION!F22+[1]Respir!F22+[1]PT!F22+[1]OBS!F22+#REF!+[1]ER!F22+'[1]Pro Fees'!F22+#REF!+'[1]BM Clinic'!F23+'[1]King Clinic'!F22+[1]Dietary!F22+[1]Laund!F19+'[1]Soc Serv'!F19+[1]Activ!F19+'[1]Environmental Services'!F19+'[1]Plant Op'!F19+'[1]Business Office'!F19+[1]IT!F19+[1]Admin!F19+'[1]Med Rec'!F19+'[1]Nurs Admin'!F19+'[1]Quality Mngt'!F19+[1]HR!F19+'[1]Inf Cntrl'!F19+[1]BOT!F19+'[1]Non Dept'!F19+'[1]Bad Debt Contractuals'!F19+[1]Depre!F19+'[1]Other Op Rev'!F19+'[1]Non Op Rev'!F19</f>
        <v>#REF!</v>
      </c>
      <c r="G34" s="248" t="e">
        <f>'[1]Med Surg - Acute'!G22+'[1]Swing-SNF'!G22+[1]LTC!G22+[1]CSR!G22+[1]Lab!G22+'[1]Blood Bank'!G22+#REF!+[1]Rad!G22+#REF!+#REF!+#REF!+[1]Pharmacy!G24+[1]INFUSION!G22+[1]Respir!G22+[1]PT!G22+[1]OBS!G22+#REF!+[1]ER!G22+'[1]Pro Fees'!G22+#REF!+'[1]BM Clinic'!G23+'[1]King Clinic'!G22+[1]Dietary!G22+[1]Laund!G19+'[1]Soc Serv'!G19+[1]Activ!G19+'[1]Environmental Services'!G19+'[1]Plant Op'!G19+'[1]Business Office'!G19+[1]IT!G19+[1]Admin!G19+'[1]Med Rec'!G19+'[1]Nurs Admin'!G19+'[1]Quality Mngt'!G19+[1]HR!G19+'[1]Inf Cntrl'!G19+[1]BOT!G19+'[1]Non Dept'!G19+'[1]Bad Debt Contractuals'!G19+[1]Depre!G19+'[1]Other Op Rev'!G19+'[1]Non Op Rev'!G19</f>
        <v>#REF!</v>
      </c>
      <c r="H34" s="248" t="e">
        <f>'[1]Med Surg - Acute'!H22+'[1]Swing-SNF'!H22+[1]LTC!H22+[1]CSR!H22+[1]Lab!H22+'[1]Blood Bank'!H22+#REF!+[1]Rad!H22+#REF!+#REF!+#REF!+[1]Pharmacy!H24+[1]INFUSION!H22+[1]Respir!H22+[1]PT!H22+[1]OBS!H22+#REF!+[1]ER!H22+'[1]Pro Fees'!H22+#REF!+'[1]BM Clinic'!H23+'[1]King Clinic'!H22+[1]Dietary!H22+[1]Laund!H19+'[1]Soc Serv'!H19+[1]Activ!H19+'[1]Environmental Services'!H19+'[1]Plant Op'!H19+'[1]Business Office'!H19+[1]IT!H19+[1]Admin!H19+'[1]Med Rec'!H19+'[1]Nurs Admin'!H19+'[1]Quality Mngt'!H19+[1]HR!H19+'[1]Inf Cntrl'!H19+[1]BOT!H19+'[1]Non Dept'!H19+'[1]Bad Debt Contractuals'!H19+[1]Depre!H19+'[1]Other Op Rev'!H19+'[1]Non Op Rev'!H19</f>
        <v>#REF!</v>
      </c>
      <c r="I34" s="248" t="e">
        <f>'[1]Med Surg - Acute'!I22+'[1]Swing-SNF'!#REF!+[1]LTC!I22+[1]CSR!I22+[1]Lab!I22+'[1]Blood Bank'!I22+#REF!+[1]Rad!I22+#REF!+#REF!+#REF!+[1]Pharmacy!I24+[1]INFUSION!I22+[1]Respir!I22+[1]PT!I22+[1]OBS!I22+#REF!+[1]ER!I22+'[1]Pro Fees'!I22+#REF!+'[1]BM Clinic'!I23+'[1]King Clinic'!I22+[1]Dietary!I22+[1]Laund!I19+'[1]Soc Serv'!I19+[1]Activ!I19+'[1]Environmental Services'!I19+'[1]Plant Op'!I19+'[1]Business Office'!I19+[1]IT!I19+[1]Admin!I19+'[1]Med Rec'!I19+'[1]Nurs Admin'!I19+'[1]Quality Mngt'!I19+[1]HR!I19+'[1]Inf Cntrl'!I19+[1]BOT!I19+'[1]Non Dept'!I19+'[1]Bad Debt Contractuals'!I19+[1]Depre!I19+'[1]Other Op Rev'!I19+'[1]Non Op Rev'!I19</f>
        <v>#REF!</v>
      </c>
      <c r="J34" s="248" t="e">
        <f>'[1]Med Surg - Acute'!J22+'[1]Swing-SNF'!#REF!+[1]LTC!J22+[1]CSR!J22+[1]Lab!O90+'[1]Blood Bank'!J22+#REF!+[1]Rad!J22+#REF!+#REF!+#REF!+[1]Pharmacy!J24+[1]INFUSION!J22+[1]Respir!J22+[1]PT!J22+[1]OBS!J22+#REF!+[1]ER!J22+'[1]Pro Fees'!J22+#REF!+'[1]BM Clinic'!J23+'[1]King Clinic'!J22+[1]Dietary!J22+[1]Laund!J19+'[1]Soc Serv'!J19+[1]Activ!J19+'[1]Environmental Services'!J19+'[1]Plant Op'!J19+'[1]Business Office'!J19+[1]IT!J19+[1]Admin!J19+'[1]Med Rec'!J19+'[1]Nurs Admin'!J19+'[1]Quality Mngt'!J19+[1]HR!J19+'[1]Inf Cntrl'!J19+[1]BOT!J19+'[1]Non Dept'!J19+'[1]Bad Debt Contractuals'!J19+[1]Depre!J19+'[1]Other Op Rev'!J19+'[1]Non Op Rev'!J19</f>
        <v>#REF!</v>
      </c>
      <c r="K34" s="248"/>
      <c r="L34" s="107"/>
      <c r="M34" s="239"/>
      <c r="P34" s="68" t="s">
        <v>271</v>
      </c>
      <c r="Q34" s="63">
        <v>15383.38</v>
      </c>
      <c r="R34" s="260"/>
      <c r="S34" s="260"/>
    </row>
    <row r="35" spans="1:19" ht="15.75" thickBot="1" x14ac:dyDescent="0.3">
      <c r="A35" s="240" t="s">
        <v>272</v>
      </c>
      <c r="B35" s="248">
        <v>52100</v>
      </c>
      <c r="C35" s="248">
        <f>'[1]Med Surg - Acute'!C23+[1]LTC!C23+[1]CSR!C23+[1]Rad!C23+[1]Lab!C23+[1]Pharmacy!C25+[1]Respir!C23+[1]ER!C23+'[1]BM Clinic'!C24+'[1]King Clinic'!C23+[1]Dietary!C23+'[1]Soc Serv'!C20+[1]Activ!C20+'[1]Environmental Services'!C20+'[1]Plant Op'!C20+'[1]Business Office'!C20+[1]IT!C20+[1]Finance!C20+[1]Admin!C20+'[1]Med Rec'!C20+'[1]Nurs Admin'!C20+'[1]Quality Mngt'!C20+[1]HR!C20+'[1]Inf Cntrl'!C20+[1]BOT!C20+[1]JPHSC!C20+[1]PT!C23</f>
        <v>9734.0299999999988</v>
      </c>
      <c r="D35" s="248">
        <f t="shared" si="5"/>
        <v>19468.059999999998</v>
      </c>
      <c r="E35" s="248">
        <f>'[1]Med Surg - Acute'!E23+[1]LTC!E23+[1]CSR!E23+[1]Rad!E23+[1]Lab!E23+[1]Pharmacy!E25+[1]Respir!E23+[1]ER!E23+'[1]BM Clinic'!E24+'[1]King Clinic'!E23+[1]Dietary!E23+'[1]Soc Serv'!E20+[1]Activ!E20+'[1]Environmental Services'!E20+'[1]Plant Op'!E20+'[1]Business Office'!E20+[1]IT!E20+[1]Finance!E20+[1]Admin!E20+'[1]Med Rec'!E20+'[1]Nurs Admin'!E20+'[1]Quality Mngt'!E20+[1]HR!E20+'[1]Inf Cntrl'!E20+[1]BOT!E20+[1]JPHSC!E20+[1]PT!E23</f>
        <v>51600</v>
      </c>
      <c r="F35" s="248" t="e">
        <f>(+'[1]Med Surg - Acute'!F23+[1]LTC!F23+'[1]Swing-SNF'!F23+[1]Activ!F20+[1]CSR!#REF!+[1]Lab!F23+#REF!+[1]Rad!F23+#REF!+#REF!+[1]Pharmacy!F25+[1]Respir!F23+[1]PT!F23+[1]OBS!F23+#REF!+[1]ER!#REF!+[1]ER!F23+'[1]BM Clinic'!F24+[1]Dietary!F23+[1]Laund!F20+'[1]Soc Serv'!F20+'[1]Environmental Services'!F20+'[1]Plant Op'!F20+'[1]Business Office'!F20+#REF!+[1]IT!F20+[1]Admin!F20+'[1]Nurs Admin'!F20+'[1]Med Rec'!F20+'[1]Quality Mngt'!F20+'[1]Bad Debt Contractuals'!F20+[1]Depre!F20+'[1]Non Dept'!F20+#REF!+#REF!+[1]BOT!F20+'[1]Inf Cntrl'!F20)</f>
        <v>#REF!</v>
      </c>
      <c r="G35" s="249"/>
      <c r="I35" s="248"/>
      <c r="J35" s="239"/>
      <c r="K35" s="239"/>
      <c r="L35" s="107"/>
      <c r="M35" s="239"/>
      <c r="P35" s="265" t="s">
        <v>264</v>
      </c>
      <c r="Q35" s="115">
        <f>844033.17-30879.82</f>
        <v>813153.35000000009</v>
      </c>
      <c r="R35" s="266">
        <f>C31-Q35</f>
        <v>0</v>
      </c>
      <c r="S35" s="260"/>
    </row>
    <row r="36" spans="1:19" x14ac:dyDescent="0.25">
      <c r="A36" s="240" t="s">
        <v>273</v>
      </c>
      <c r="B36" s="248">
        <v>111931</v>
      </c>
      <c r="C36" s="248">
        <f>'[1]Med Surg - Acute'!C24+[1]LTC!C24+[1]CSR!C24+[1]Rad!C24+[1]Lab!C24+[1]Pharmacy!C26+[1]PT!C24+[1]Respir!C24+[1]ER!C24+'[1]BM Clinic'!C25+[1]Dietary!C24+'[1]Soc Serv'!C21+[1]Activ!C21+'[1]Environmental Services'!C21+'[1]Plant Op'!C21+'[1]Business Office'!C21+[1]IT!C21+[1]Finance!C21+[1]Admin!C21+'[1]Med Rec'!C21+'[1]Nurs Admin'!C21+'[1]Quality Mngt'!C21+[1]HR!C21+'[1]Inf Cntrl'!C21+[1]BOT!C21+[1]JPHSC!C21</f>
        <v>53421.31</v>
      </c>
      <c r="D36" s="248">
        <f t="shared" si="5"/>
        <v>106842.62</v>
      </c>
      <c r="E36" s="248">
        <f>'[1]Med Surg - Acute'!E24+[1]LTC!E24+[1]CSR!E24+[1]Rad!E24+[1]Lab!E24+[1]Pharmacy!E26+[1]PT!E24+[1]Respir!E24+[1]ER!E24+'[1]BM Clinic'!E25+[1]Dietary!E24+'[1]Soc Serv'!E21+[1]Activ!E21+'[1]Environmental Services'!E21+'[1]Plant Op'!E21+'[1]Business Office'!E21+[1]IT!E21+[1]Finance!E21+[1]Admin!E21+'[1]Med Rec'!E21+'[1]Nurs Admin'!E21+'[1]Quality Mngt'!E21+[1]HR!E21+'[1]Inf Cntrl'!E21+[1]BOT!E21+[1]JPHSC!E21</f>
        <v>120501</v>
      </c>
      <c r="F36" s="248" t="e">
        <f>(+'[1]Med Surg - Acute'!F24+[1]LTC!F24+'[1]Swing-SNF'!F24+[1]Activ!F21+[1]CSR!#REF!+[1]Lab!F24+#REF!+[1]Rad!F24+#REF!+#REF!+[1]Pharmacy!F26+[1]Respir!F24+[1]PT!F24+[1]OBS!F24+#REF!+[1]ER!F24+'[1]Pro Fees'!F24+'[1]BM Clinic'!F25+[1]Dietary!F24+[1]Laund!F21+'[1]Soc Serv'!F21+'[1]Environmental Services'!F21+'[1]Plant Op'!F21+'[1]Business Office'!F21+#REF!+[1]IT!F21+[1]Admin!F21+'[1]Nurs Admin'!F21+'[1]Med Rec'!F21+'[1]Quality Mngt'!F21+'[1]Bad Debt Contractuals'!F21+[1]Depre!F21+'[1]Non Dept'!F21+#REF!+#REF!+[1]BOT!F21+'[1]Inf Cntrl'!F21)</f>
        <v>#REF!</v>
      </c>
      <c r="G36" s="249"/>
      <c r="I36" s="248"/>
      <c r="J36" s="239"/>
      <c r="K36" s="239"/>
      <c r="L36" s="107"/>
      <c r="M36" s="239"/>
      <c r="N36" s="244"/>
      <c r="R36" s="260"/>
      <c r="S36" s="260"/>
    </row>
    <row r="37" spans="1:19" x14ac:dyDescent="0.25">
      <c r="A37" s="240" t="s">
        <v>274</v>
      </c>
      <c r="B37" s="248">
        <v>99245</v>
      </c>
      <c r="C37" s="248">
        <f>'[1]Med Surg - Acute'!C25+[1]LTC!C25+[1]CSR!C25+[1]Rad!C25+[1]Lab!C25+[1]Pharmacy!C27+[1]Respir!C25+[1]ER!C25+'[1]BM Clinic'!C26+[1]Dietary!C25+'[1]Soc Serv'!C22+[1]Activ!C22+'[1]Environmental Services'!C22+'[1]Plant Op'!C22+'[1]Business Office'!C22+[1]IT!C22+[1]Finance!C22+[1]Admin!C22+'[1]Med Rec'!C22+'[1]Nurs Admin'!C22+'[1]Quality Mngt'!C22+[1]HR!C22+'[1]Inf Cntrl'!C22+[1]BOT!C22+[1]JPHSC!C22+[1]PT!C25</f>
        <v>20032.8</v>
      </c>
      <c r="D37" s="248">
        <f t="shared" si="5"/>
        <v>40065.599999999999</v>
      </c>
      <c r="E37" s="248">
        <f>'[1]Med Surg - Acute'!E25+[1]LTC!E25+[1]CSR!E25+[1]Rad!E25+[1]Lab!E25+[1]Pharmacy!E27+[1]Respir!E25+[1]ER!E25+'[1]BM Clinic'!E26+[1]Dietary!E25+'[1]Soc Serv'!E22+[1]Activ!E22+'[1]Environmental Services'!E22+'[1]Plant Op'!E22+'[1]Business Office'!E22+[1]IT!E22+[1]Finance!E22+[1]Admin!E22+'[1]Med Rec'!E22+'[1]Nurs Admin'!E22+'[1]Quality Mngt'!E22+[1]HR!E22+'[1]Inf Cntrl'!E22+[1]BOT!E22+[1]JPHSC!E22+[1]PT!E25</f>
        <v>104750</v>
      </c>
      <c r="F37" s="248" t="e">
        <f>(+'[1]Med Surg - Acute'!F25+[1]LTC!F25+'[1]Swing-SNF'!F25+[1]Activ!F22+[1]CSR!F19+[1]Lab!F25+#REF!+[1]Rad!F25+#REF!+#REF!+[1]Pharmacy!F27+[1]Respir!F25+[1]PT!F25+[1]OBS!F25+#REF!+[1]ER!F25+'[1]Pro Fees'!F25+'[1]BM Clinic'!F26+[1]Dietary!F25+[1]Laund!F22+'[1]Soc Serv'!F22+'[1]Environmental Services'!F22+'[1]Plant Op'!F22+'[1]Business Office'!F22+#REF!+[1]IT!F22+[1]Admin!F22+'[1]Nurs Admin'!F22+'[1]Med Rec'!F22+'[1]Quality Mngt'!F22+'[1]Bad Debt Contractuals'!F22+[1]Depre!F22+'[1]Non Dept'!F22+#REF!+#REF!+[1]BOT!F22+'[1]Inf Cntrl'!F22)</f>
        <v>#REF!</v>
      </c>
      <c r="G37" s="249"/>
      <c r="I37" s="248"/>
      <c r="J37" s="239"/>
      <c r="K37" s="239"/>
      <c r="L37" s="107"/>
      <c r="M37" s="239"/>
      <c r="N37" s="244"/>
      <c r="R37" s="260"/>
      <c r="S37" s="260"/>
    </row>
    <row r="38" spans="1:19" x14ac:dyDescent="0.25">
      <c r="A38" s="240" t="s">
        <v>275</v>
      </c>
      <c r="B38" s="248">
        <v>18500</v>
      </c>
      <c r="C38" s="248">
        <f>'[1]Non Dept'!C23</f>
        <v>14906.37</v>
      </c>
      <c r="D38" s="248">
        <f t="shared" si="5"/>
        <v>29812.739999999998</v>
      </c>
      <c r="E38" s="248">
        <f>'[1]Non Dept'!E23</f>
        <v>31000</v>
      </c>
      <c r="F38" s="248" t="e">
        <f>(+'[1]Med Surg - Acute'!F26+[1]LTC!F26+'[1]Swing-SNF'!F26+[1]Activ!F23+[1]CSR!#REF!+[1]Lab!F26+#REF!+[1]Rad!F26+#REF!+#REF!+[1]Pharmacy!F28+[1]Respir!F26+[1]PT!F26+[1]OBS!F26+#REF!+[1]ER!F26+'[1]Pro Fees'!F26+'[1]BM Clinic'!F27+[1]Dietary!F26+[1]Laund!F23+'[1]Soc Serv'!F23+'[1]Environmental Services'!F23+'[1]Plant Op'!F23+'[1]Business Office'!F23+#REF!+[1]IT!F23+[1]Admin!F23+'[1]Nurs Admin'!F23+'[1]Med Rec'!F23+'[1]Quality Mngt'!F23+'[1]Bad Debt Contractuals'!F23+[1]Depre!F23+'[1]Non Dept'!F23+#REF!+#REF!+[1]BOT!F23+'[1]Inf Cntrl'!F23)</f>
        <v>#REF!</v>
      </c>
      <c r="G38" s="249"/>
      <c r="I38" s="248"/>
      <c r="J38" s="239"/>
      <c r="K38" s="239"/>
      <c r="L38" s="107"/>
      <c r="M38" s="239"/>
      <c r="N38" s="267"/>
      <c r="P38" s="63"/>
      <c r="R38" s="260"/>
      <c r="S38" s="260"/>
    </row>
    <row r="39" spans="1:19" x14ac:dyDescent="0.25">
      <c r="A39" s="240" t="s">
        <v>276</v>
      </c>
      <c r="B39" s="248">
        <v>2564000</v>
      </c>
      <c r="C39" s="248">
        <f>[1]Depre!C24</f>
        <v>889053.09</v>
      </c>
      <c r="D39" s="248">
        <f t="shared" si="5"/>
        <v>1778106.1799999997</v>
      </c>
      <c r="E39" s="263">
        <f>[1]Depre!E24</f>
        <v>3075750.3415333335</v>
      </c>
      <c r="F39" s="248" t="e">
        <f>(+'[1]Med Surg - Acute'!F27+[1]LTC!F27+'[1]Swing-SNF'!F27+[1]Activ!F24+[1]CSR!F20+[1]Lab!F27+#REF!+[1]Rad!F27+#REF!+#REF!+[1]Pharmacy!F29+[1]Respir!F27+[1]PT!F27+[1]OBS!F27+#REF!+[1]ER!F27+'[1]Pro Fees'!F27+'[1]BM Clinic'!F28+[1]Dietary!F27+[1]Laund!F24+'[1]Soc Serv'!F24+'[1]Environmental Services'!F24+'[1]Plant Op'!F24+'[1]Business Office'!F24+#REF!+[1]IT!F24+[1]Admin!F24+'[1]Nurs Admin'!F24+'[1]Med Rec'!F24+'[1]Quality Mngt'!F24+'[1]Bad Debt Contractuals'!F24+[1]Depre!F24+'[1]Non Dept'!F24+#REF!+#REF!+[1]BOT!F24+'[1]Inf Cntrl'!F24)</f>
        <v>#REF!</v>
      </c>
      <c r="G39" s="249"/>
      <c r="I39" s="248"/>
      <c r="J39" s="239"/>
      <c r="K39" s="268"/>
      <c r="L39" s="109" t="s">
        <v>277</v>
      </c>
      <c r="M39" s="239">
        <f>E39-D39</f>
        <v>1297644.1615333338</v>
      </c>
      <c r="P39" s="116"/>
      <c r="R39" s="260"/>
      <c r="S39" s="260"/>
    </row>
    <row r="40" spans="1:19" x14ac:dyDescent="0.25">
      <c r="A40" s="240" t="s">
        <v>278</v>
      </c>
      <c r="B40" s="248">
        <v>0</v>
      </c>
      <c r="C40" s="239">
        <v>6030.95</v>
      </c>
      <c r="D40" s="248"/>
      <c r="F40" s="248"/>
      <c r="G40" s="249"/>
      <c r="I40" s="248"/>
      <c r="J40" s="239"/>
      <c r="K40" s="119"/>
      <c r="L40" s="117"/>
      <c r="M40" s="239"/>
      <c r="N40" s="118"/>
      <c r="R40" s="260"/>
      <c r="S40" s="260"/>
    </row>
    <row r="41" spans="1:19" x14ac:dyDescent="0.25">
      <c r="A41" s="240" t="s">
        <v>279</v>
      </c>
      <c r="B41" s="248">
        <v>293700</v>
      </c>
      <c r="C41" s="248">
        <f>'[1]Non Dept'!C26</f>
        <v>104744.26</v>
      </c>
      <c r="D41" s="248">
        <f t="shared" si="5"/>
        <v>209488.52000000002</v>
      </c>
      <c r="E41" s="248">
        <f>'[1]Non Dept'!E26</f>
        <v>293700</v>
      </c>
      <c r="F41" s="248"/>
      <c r="G41" s="249"/>
      <c r="I41" s="248"/>
      <c r="J41" s="239"/>
      <c r="K41" s="239"/>
      <c r="L41" s="107"/>
      <c r="M41" s="239"/>
      <c r="R41" s="260"/>
      <c r="S41" s="260"/>
    </row>
    <row r="42" spans="1:19" x14ac:dyDescent="0.25">
      <c r="A42" s="240" t="s">
        <v>233</v>
      </c>
      <c r="B42" s="248">
        <v>0</v>
      </c>
      <c r="C42" s="248"/>
      <c r="D42" s="248">
        <f t="shared" si="5"/>
        <v>0</v>
      </c>
      <c r="E42" s="248">
        <v>0</v>
      </c>
      <c r="F42" s="248"/>
      <c r="G42" s="249"/>
      <c r="I42" s="248"/>
      <c r="J42" s="239"/>
      <c r="K42" s="239"/>
      <c r="L42" s="107"/>
      <c r="M42" s="239"/>
      <c r="N42" s="269"/>
      <c r="P42" s="240" t="s">
        <v>280</v>
      </c>
      <c r="Q42" s="260">
        <f>SUM(Q43:Q53)</f>
        <v>82823.67</v>
      </c>
      <c r="R42" s="260">
        <f>Q42-C44</f>
        <v>0</v>
      </c>
      <c r="S42" s="260"/>
    </row>
    <row r="43" spans="1:19" x14ac:dyDescent="0.25">
      <c r="A43" s="240" t="s">
        <v>281</v>
      </c>
      <c r="B43" s="248">
        <v>327525</v>
      </c>
      <c r="C43" s="248">
        <f>'[1]Med Surg - Acute'!C29+[1]LTC!C31+[1]CSR!C31+[1]Rad!C31+[1]Lab!C31+[1]Pharmacy!C33+[1]PT!C31+[1]Respir!C31+[1]ER!C31+'[1]BM Clinic'!C32+'[1]King Clinic'!C31+[1]Dietary!C31+[1]Activ!C28+'[1]Environmental Services'!C28+'[1]Plant Op'!C28+'[1]Business Office'!C28+[1]IT!C28+[1]Finance!C28+[1]Admin!C28+'[1]Med Rec'!C28+'[1]Nurs Admin'!C28+'[1]Quality Mngt'!C28+[1]HR!C28+'[1]Inf Cntrl'!C28+[1]BOT!C28+[1]JPHSC!C28</f>
        <v>93318.690000000017</v>
      </c>
      <c r="D43" s="248">
        <f t="shared" si="5"/>
        <v>186637.38000000003</v>
      </c>
      <c r="E43" s="248">
        <f>'[1]Med Surg - Acute'!E29+[1]LTC!E31+[1]CSR!E31+[1]Rad!E31+[1]Lab!E31+[1]Pharmacy!E33+[1]PT!E31+[1]Respir!E31+[1]ER!E31+'[1]BM Clinic'!E32+'[1]King Clinic'!E31+[1]Dietary!E31+[1]Activ!E28+'[1]Environmental Services'!E28+'[1]Plant Op'!E28+'[1]Business Office'!E28+[1]IT!E28+[1]Finance!E28+[1]Admin!E28+'[1]Med Rec'!E28+'[1]Nurs Admin'!E28+'[1]Quality Mngt'!E28+[1]HR!E28+'[1]Inf Cntrl'!E28+[1]BOT!E28+[1]JPHSC!E28</f>
        <v>229125</v>
      </c>
      <c r="F43" s="248"/>
      <c r="G43" s="249"/>
      <c r="I43" s="248"/>
      <c r="J43" s="239"/>
      <c r="K43" s="239"/>
      <c r="L43" s="107"/>
      <c r="M43" s="239"/>
      <c r="P43" s="241" t="s">
        <v>282</v>
      </c>
      <c r="Q43" s="120">
        <v>33926.03</v>
      </c>
      <c r="R43" s="260"/>
      <c r="S43" s="260"/>
    </row>
    <row r="44" spans="1:19" x14ac:dyDescent="0.25">
      <c r="A44" s="240" t="s">
        <v>132</v>
      </c>
      <c r="B44" s="248">
        <v>142040</v>
      </c>
      <c r="C44" s="248">
        <f>[1]ER!C32+'[1]Med Surg - Acute'!C32+[1]OBS!C32+'[1]Swing-SNF'!C32+'[1]Pro Fees'!C32+[1]LTC!C32+[1]CSR!C32+[1]PT!C32+[1]Respir!C32+[1]Rad!C32+[1]Lab!C32+'[1]Blood Bank'!C32+'[1]BM Clinic'!C33+[1]Pharmacy!C34+[1]INFUSION!C32+'[1]King Clinic'!C32+[1]Dietary!C32+'[1]Soc Serv'!C29+[1]Activ!C29+[1]Laund!C29+'[1]Environmental Services'!C29+'[1]Plant Op'!C29+[1]JPHSC!C29+'[1]Business Office'!C29+'[1]Med Rec'!C29+[1]IT!C29+[1]Admin!C29+'[1]Nurs Admin'!C29+[1]Finance!C29+'[1]Quality Mngt'!C29+[1]HR!C29+'[1]Inf Cntrl'!C29+[1]BOT!C29+'[1]Non Dept'!C29</f>
        <v>82823.67</v>
      </c>
      <c r="D44" s="248">
        <f t="shared" si="5"/>
        <v>165647.34</v>
      </c>
      <c r="E44" s="248">
        <f>[1]ER!E32+'[1]Med Surg - Acute'!E32+[1]OBS!E32+'[1]Swing-SNF'!E32+'[1]Pro Fees'!E32+[1]LTC!E32+[1]CSR!E32+[1]PT!E32+[1]Respir!E32+[1]Rad!E32+[1]Lab!E32+'[1]Blood Bank'!E32+'[1]BM Clinic'!E33+[1]Pharmacy!E34+[1]INFUSION!E32+'[1]King Clinic'!E32+[1]Dietary!E32+'[1]Soc Serv'!E29+[1]Activ!E29+[1]Laund!E29+'[1]Environmental Services'!E29+'[1]Plant Op'!E29+[1]JPHSC!E29+'[1]Business Office'!E29+'[1]Med Rec'!E29+[1]IT!E29+[1]Admin!E29+'[1]Nurs Admin'!E29+[1]Finance!E29+'[1]Quality Mngt'!E29+[1]HR!E29+'[1]Inf Cntrl'!E29+[1]BOT!E29+'[1]Non Dept'!E29</f>
        <v>124990</v>
      </c>
      <c r="F44" s="248" t="e">
        <f>(+'[1]Med Surg - Acute'!F32+[1]LTC!F32+'[1]Swing-SNF'!F32+[1]Activ!F29+[1]CSR!F25+[1]Lab!F32+#REF!+[1]Rad!F32+#REF!+#REF!+[1]Pharmacy!F34+[1]Respir!F32+[1]PT!F32+[1]OBS!F32+#REF!+[1]ER!F32+'[1]Pro Fees'!F32+'[1]BM Clinic'!F33+[1]Dietary!F32+[1]Laund!F29+'[1]Soc Serv'!F29+'[1]Environmental Services'!F29+'[1]Plant Op'!F29+'[1]Business Office'!F29+#REF!+[1]IT!F29+[1]Admin!F29+'[1]Nurs Admin'!F29+'[1]Med Rec'!F29+'[1]Quality Mngt'!F29+'[1]Bad Debt Contractuals'!F29+[1]Depre!F29+'[1]Non Dept'!F29+#REF!+#REF!+[1]BOT!F29+'[1]Inf Cntrl'!F29)</f>
        <v>#REF!</v>
      </c>
      <c r="G44" s="249"/>
      <c r="I44" s="248"/>
      <c r="J44" s="239"/>
      <c r="K44" s="239"/>
      <c r="L44" s="121"/>
      <c r="M44" s="239"/>
      <c r="N44" s="239"/>
      <c r="P44" s="241" t="s">
        <v>283</v>
      </c>
      <c r="Q44" s="63">
        <v>16612.34</v>
      </c>
      <c r="R44" s="260"/>
      <c r="S44" s="260"/>
    </row>
    <row r="45" spans="1:19" x14ac:dyDescent="0.25">
      <c r="A45" s="236" t="s">
        <v>284</v>
      </c>
      <c r="B45" s="256">
        <v>21059529.314040914</v>
      </c>
      <c r="C45" s="256">
        <f>SUM(C26:C44)</f>
        <v>9474180.6099999994</v>
      </c>
      <c r="D45" s="256">
        <f>SUM(D26:D44)</f>
        <v>18936299.319999997</v>
      </c>
      <c r="E45" s="256">
        <f>SUM(E26:E44)</f>
        <v>22264414.221533421</v>
      </c>
      <c r="F45" s="256" t="e">
        <f>SUM(F26:F44)</f>
        <v>#REF!</v>
      </c>
      <c r="G45" s="249"/>
      <c r="H45" s="242" t="e">
        <f>E45-#REF!-E39</f>
        <v>#REF!</v>
      </c>
      <c r="I45" s="248"/>
      <c r="J45" s="239">
        <f>8815387-3119971-92621+250000</f>
        <v>5852795</v>
      </c>
      <c r="K45" s="239"/>
      <c r="L45" s="121"/>
      <c r="M45" s="122"/>
      <c r="N45" s="239"/>
      <c r="P45" s="241" t="s">
        <v>285</v>
      </c>
      <c r="Q45" s="123">
        <v>241.04</v>
      </c>
      <c r="R45" s="260"/>
      <c r="S45" s="260"/>
    </row>
    <row r="46" spans="1:19" x14ac:dyDescent="0.25">
      <c r="A46" s="236"/>
      <c r="B46" s="237"/>
      <c r="C46" s="237"/>
      <c r="D46" s="237"/>
      <c r="E46" s="237"/>
      <c r="F46" s="237"/>
      <c r="G46" s="249"/>
      <c r="I46" s="248"/>
      <c r="J46" s="239"/>
      <c r="K46" s="239"/>
      <c r="L46" s="121"/>
      <c r="M46" s="122"/>
      <c r="N46" s="239"/>
      <c r="Q46" s="123"/>
      <c r="R46" s="260"/>
      <c r="S46" s="260"/>
    </row>
    <row r="47" spans="1:19" ht="12.75" x14ac:dyDescent="0.2">
      <c r="A47" s="277" t="s">
        <v>335</v>
      </c>
      <c r="B47" s="278">
        <v>-7197422.8320409134</v>
      </c>
      <c r="C47" s="278">
        <f>C21+C23-C45</f>
        <v>-2089142.9099999992</v>
      </c>
      <c r="D47" s="278">
        <f>D21+D23-D45</f>
        <v>-4166223.9199999962</v>
      </c>
      <c r="E47" s="278">
        <f>E21+E23-E45</f>
        <v>-8520269.128413422</v>
      </c>
      <c r="G47" s="249"/>
      <c r="I47" s="239"/>
      <c r="J47" s="239">
        <v>3119971</v>
      </c>
      <c r="K47" s="239"/>
      <c r="M47" s="239"/>
      <c r="P47" s="241" t="s">
        <v>286</v>
      </c>
      <c r="Q47" s="120">
        <v>1843.14</v>
      </c>
    </row>
    <row r="48" spans="1:19" ht="8.25" customHeight="1" x14ac:dyDescent="0.2">
      <c r="A48" s="236"/>
      <c r="B48" s="242"/>
      <c r="C48" s="242"/>
      <c r="D48" s="242"/>
      <c r="E48" s="242"/>
      <c r="G48" s="249"/>
      <c r="I48" s="239"/>
      <c r="J48" s="239"/>
      <c r="K48" s="239"/>
      <c r="M48" s="239"/>
      <c r="Q48" s="120"/>
    </row>
    <row r="49" spans="1:19" x14ac:dyDescent="0.25">
      <c r="A49" s="240" t="s">
        <v>287</v>
      </c>
      <c r="B49" s="242">
        <v>-5000</v>
      </c>
      <c r="C49" s="242">
        <f>'[1]Non Op Rev'!H60</f>
        <v>-1761.92</v>
      </c>
      <c r="D49" s="242">
        <f>C49/6*12</f>
        <v>-3523.84</v>
      </c>
      <c r="E49" s="242">
        <f>'[1]Non Op Rev'!J53</f>
        <v>-5000</v>
      </c>
      <c r="F49" s="239">
        <v>0</v>
      </c>
      <c r="G49" s="249"/>
      <c r="I49" s="239"/>
      <c r="J49" s="239">
        <v>92621</v>
      </c>
      <c r="K49" s="239"/>
      <c r="L49" s="124"/>
      <c r="M49" s="239"/>
      <c r="P49" s="241" t="s">
        <v>288</v>
      </c>
      <c r="Q49" s="63">
        <v>3815</v>
      </c>
      <c r="R49" s="260"/>
    </row>
    <row r="50" spans="1:19" ht="12.75" x14ac:dyDescent="0.2">
      <c r="A50" s="240" t="s">
        <v>233</v>
      </c>
      <c r="B50" s="242">
        <v>2020000</v>
      </c>
      <c r="C50" s="242">
        <f>'[1]Non Op Rev'!H43</f>
        <v>1277928.02</v>
      </c>
      <c r="D50" s="242">
        <f t="shared" ref="D50:D53" si="6">C50/6*12</f>
        <v>2555856.04</v>
      </c>
      <c r="E50" s="242">
        <v>2555856.04</v>
      </c>
      <c r="F50" s="239">
        <v>0</v>
      </c>
      <c r="J50" s="239"/>
      <c r="K50" s="239"/>
      <c r="M50" s="239"/>
      <c r="N50" s="239"/>
      <c r="P50" s="241" t="s">
        <v>289</v>
      </c>
      <c r="Q50" s="120">
        <v>10222.57</v>
      </c>
    </row>
    <row r="51" spans="1:19" ht="12.75" x14ac:dyDescent="0.2">
      <c r="A51" s="240" t="s">
        <v>290</v>
      </c>
      <c r="B51" s="242">
        <v>48000</v>
      </c>
      <c r="C51" s="242">
        <f>'[1]Non Op Rev'!H64</f>
        <v>24000</v>
      </c>
      <c r="D51" s="242">
        <f t="shared" si="6"/>
        <v>48000</v>
      </c>
      <c r="E51" s="242">
        <f>'[1]Non Op Rev'!J64</f>
        <v>12000</v>
      </c>
      <c r="J51" s="239"/>
      <c r="K51" s="239"/>
      <c r="M51" s="239"/>
      <c r="N51" s="239"/>
      <c r="P51" s="241" t="s">
        <v>291</v>
      </c>
      <c r="Q51" s="120">
        <v>5000</v>
      </c>
    </row>
    <row r="52" spans="1:19" x14ac:dyDescent="0.25">
      <c r="A52" s="240" t="s">
        <v>292</v>
      </c>
      <c r="B52" s="242">
        <v>1265184.8400000001</v>
      </c>
      <c r="C52" s="242">
        <f>'[1]Non Op Rev'!H50</f>
        <v>1934678.52</v>
      </c>
      <c r="D52" s="242">
        <v>1265184.8400000001</v>
      </c>
      <c r="E52" s="242">
        <f>'[1]Non Op Rev'!J50</f>
        <v>1441312.35</v>
      </c>
      <c r="F52" s="239">
        <v>0</v>
      </c>
      <c r="G52" s="249"/>
      <c r="J52" s="239">
        <f>-SUM(J45:J50)</f>
        <v>-9065387</v>
      </c>
      <c r="K52" s="239"/>
      <c r="M52" s="239"/>
      <c r="N52" s="239"/>
      <c r="P52" s="241" t="s">
        <v>293</v>
      </c>
      <c r="Q52" s="63">
        <v>11163.55</v>
      </c>
      <c r="R52" s="260"/>
      <c r="S52" s="260"/>
    </row>
    <row r="53" spans="1:19" x14ac:dyDescent="0.25">
      <c r="A53" s="240" t="s">
        <v>294</v>
      </c>
      <c r="B53" s="242">
        <v>65000</v>
      </c>
      <c r="C53" s="242">
        <f>'[1]Non Op Rev'!H72</f>
        <v>0</v>
      </c>
      <c r="D53" s="242">
        <f t="shared" si="6"/>
        <v>0</v>
      </c>
      <c r="E53" s="242">
        <f>'[1]Non Op Rev'!J47</f>
        <v>0</v>
      </c>
      <c r="F53" s="239">
        <v>0</v>
      </c>
      <c r="G53" s="249"/>
      <c r="J53" s="239"/>
      <c r="K53" s="239"/>
      <c r="M53" s="239"/>
    </row>
    <row r="54" spans="1:19" x14ac:dyDescent="0.25">
      <c r="A54" s="240" t="s">
        <v>295</v>
      </c>
      <c r="B54" s="242">
        <v>-65000</v>
      </c>
      <c r="C54" s="242"/>
      <c r="D54" s="242">
        <v>0</v>
      </c>
      <c r="E54" s="242">
        <f>-'[1]Non Op Rev'!J55</f>
        <v>0</v>
      </c>
      <c r="G54" s="249"/>
      <c r="J54" s="239"/>
      <c r="K54" s="239"/>
      <c r="M54" s="239"/>
    </row>
    <row r="55" spans="1:19" x14ac:dyDescent="0.25">
      <c r="A55" s="240" t="s">
        <v>296</v>
      </c>
      <c r="B55" s="242">
        <v>3869356.6</v>
      </c>
      <c r="C55" s="242">
        <f>'[1]Non Op Rev'!H49</f>
        <v>632644.79999999993</v>
      </c>
      <c r="D55" s="242">
        <v>3869356.6</v>
      </c>
      <c r="E55" s="242">
        <f>'[1]Non Op Rev'!J49</f>
        <v>4241848.7198490007</v>
      </c>
      <c r="F55" s="239">
        <v>0</v>
      </c>
      <c r="G55" s="249"/>
      <c r="J55" s="239">
        <v>80000</v>
      </c>
      <c r="K55" s="239"/>
      <c r="M55" s="239"/>
    </row>
    <row r="56" spans="1:19" x14ac:dyDescent="0.25">
      <c r="A56" s="240" t="s">
        <v>297</v>
      </c>
      <c r="B56" s="242"/>
      <c r="C56" s="242">
        <f>'[1]Non Op Rev'!H40</f>
        <v>335070</v>
      </c>
      <c r="D56" s="242"/>
      <c r="E56" s="242"/>
      <c r="G56" s="249"/>
      <c r="J56" s="239"/>
      <c r="K56" s="239"/>
      <c r="M56" s="239"/>
    </row>
    <row r="57" spans="1:19" x14ac:dyDescent="0.25">
      <c r="A57" s="236" t="s">
        <v>298</v>
      </c>
      <c r="B57" s="270">
        <v>7197541.4399999995</v>
      </c>
      <c r="C57" s="270">
        <f>SUM(C49:C56)</f>
        <v>4202559.42</v>
      </c>
      <c r="D57" s="270">
        <f>SUM(D49:D56)</f>
        <v>7734873.6400000006</v>
      </c>
      <c r="E57" s="270">
        <f>SUM(E49:E56)</f>
        <v>8246017.1098490003</v>
      </c>
      <c r="F57" s="256">
        <f>SUM(F49:F55)</f>
        <v>0</v>
      </c>
      <c r="G57" s="249"/>
      <c r="J57" s="239"/>
      <c r="K57" s="239"/>
      <c r="M57" s="239"/>
    </row>
    <row r="58" spans="1:19" x14ac:dyDescent="0.25">
      <c r="B58" s="242"/>
      <c r="C58" s="242"/>
      <c r="D58" s="242"/>
      <c r="E58" s="242"/>
      <c r="G58" s="249"/>
      <c r="J58" s="239"/>
      <c r="K58" s="239"/>
    </row>
    <row r="59" spans="1:19" ht="15.75" thickBot="1" x14ac:dyDescent="0.3">
      <c r="A59" s="236" t="s">
        <v>299</v>
      </c>
      <c r="B59" s="271">
        <v>118.60795908607543</v>
      </c>
      <c r="C59" s="271">
        <f t="shared" ref="C59:J59" si="7">C21+C23-C45+C57</f>
        <v>2113416.5100000007</v>
      </c>
      <c r="D59" s="271">
        <f t="shared" si="7"/>
        <v>3568649.7200000044</v>
      </c>
      <c r="E59" s="271">
        <f t="shared" si="7"/>
        <v>-274252.01856442168</v>
      </c>
      <c r="F59" s="272" t="e">
        <f t="shared" si="7"/>
        <v>#VALUE!</v>
      </c>
      <c r="G59" s="272">
        <f t="shared" si="7"/>
        <v>0</v>
      </c>
      <c r="H59" s="272" t="e">
        <f t="shared" si="7"/>
        <v>#REF!</v>
      </c>
      <c r="I59" s="272">
        <f t="shared" si="7"/>
        <v>0</v>
      </c>
      <c r="J59" s="272" t="e">
        <f t="shared" si="7"/>
        <v>#REF!</v>
      </c>
      <c r="K59" s="237"/>
      <c r="M59" s="122"/>
      <c r="N59" s="63"/>
      <c r="P59" s="241" t="s">
        <v>300</v>
      </c>
      <c r="Q59" s="63">
        <v>2113416.89</v>
      </c>
      <c r="R59" s="260">
        <f>Q59-C59</f>
        <v>0.37999999942258</v>
      </c>
    </row>
    <row r="60" spans="1:19" ht="15.75" thickTop="1" x14ac:dyDescent="0.25">
      <c r="A60" s="236"/>
      <c r="D60" s="273"/>
      <c r="J60" s="239" t="e">
        <f>J21+J52+J55+J58</f>
        <v>#REF!</v>
      </c>
      <c r="K60" s="239"/>
    </row>
    <row r="61" spans="1:19" s="236" customFormat="1" ht="12.75" hidden="1" x14ac:dyDescent="0.2">
      <c r="A61" s="236" t="s">
        <v>301</v>
      </c>
      <c r="B61" s="237"/>
      <c r="C61" s="237"/>
      <c r="D61" s="237">
        <f>SUM(D59:D60)</f>
        <v>3568649.7200000044</v>
      </c>
      <c r="E61" s="237"/>
      <c r="F61" s="237"/>
      <c r="G61" s="237"/>
      <c r="H61" s="238"/>
      <c r="L61" s="237"/>
      <c r="O61" s="125"/>
      <c r="P61" s="274"/>
      <c r="Q61" s="113"/>
    </row>
    <row r="62" spans="1:19" hidden="1" x14ac:dyDescent="0.25">
      <c r="A62" s="236" t="s">
        <v>302</v>
      </c>
      <c r="B62" s="239">
        <v>118.60795908607543</v>
      </c>
      <c r="E62" s="237">
        <f>E59</f>
        <v>-274252.01856442168</v>
      </c>
      <c r="J62" s="240">
        <f>242799+713933</f>
        <v>956732</v>
      </c>
    </row>
    <row r="63" spans="1:19" hidden="1" x14ac:dyDescent="0.25">
      <c r="A63" s="236"/>
      <c r="F63" s="237" t="e">
        <f>F59</f>
        <v>#VALUE!</v>
      </c>
    </row>
    <row r="64" spans="1:19" hidden="1" x14ac:dyDescent="0.25">
      <c r="J64" s="240">
        <v>-235531</v>
      </c>
    </row>
    <row r="65" spans="1:14" hidden="1" x14ac:dyDescent="0.25"/>
    <row r="66" spans="1:14" x14ac:dyDescent="0.25">
      <c r="A66" s="236" t="s">
        <v>303</v>
      </c>
      <c r="B66" s="113">
        <v>111.23</v>
      </c>
      <c r="C66" s="126"/>
      <c r="D66" s="126"/>
      <c r="E66" s="126">
        <f>'[1]FTE''S'!D35</f>
        <v>113.93</v>
      </c>
      <c r="F66" s="126" t="e">
        <f>#REF!</f>
        <v>#REF!</v>
      </c>
      <c r="G66" s="126" t="e">
        <f>#REF!</f>
        <v>#REF!</v>
      </c>
      <c r="H66" s="126" t="e">
        <f>#REF!</f>
        <v>#REF!</v>
      </c>
      <c r="I66" s="126" t="e">
        <f>#REF!</f>
        <v>#REF!</v>
      </c>
      <c r="J66" s="126" t="e">
        <f>#REF!</f>
        <v>#REF!</v>
      </c>
      <c r="K66" s="126"/>
      <c r="L66" s="127"/>
    </row>
    <row r="67" spans="1:14" x14ac:dyDescent="0.25">
      <c r="A67" s="275" t="s">
        <v>304</v>
      </c>
      <c r="B67" s="128">
        <f>(B26+B27)/(B21+B23)</f>
        <v>0.91569849100166223</v>
      </c>
      <c r="C67" s="128">
        <f>(C26+C27)/(C21+C23)</f>
        <v>0.73192223649718124</v>
      </c>
      <c r="D67" s="128">
        <f>(D26+D27)/(D21+D23)</f>
        <v>0.73192223649718113</v>
      </c>
      <c r="E67" s="128">
        <f>(E26+E27)/(E21+E23)</f>
        <v>0.93387868165224575</v>
      </c>
      <c r="M67" s="100"/>
      <c r="N67" s="260"/>
    </row>
    <row r="68" spans="1:14" x14ac:dyDescent="0.25">
      <c r="A68" s="276" t="s">
        <v>304</v>
      </c>
      <c r="B68" s="129"/>
      <c r="C68" s="124"/>
      <c r="D68" s="124"/>
      <c r="E68" s="124"/>
      <c r="M68" s="100"/>
      <c r="N68" s="260"/>
    </row>
    <row r="69" spans="1:14" x14ac:dyDescent="0.25">
      <c r="A69" s="276" t="s">
        <v>305</v>
      </c>
      <c r="B69" s="130">
        <v>0.48598179254078666</v>
      </c>
      <c r="C69" s="130"/>
      <c r="D69" s="130"/>
      <c r="E69" s="130">
        <f>(E26+E27)/(E24+E52+E55)</f>
        <v>0.66068676698295814</v>
      </c>
      <c r="M69" s="100"/>
      <c r="N69" s="260"/>
    </row>
    <row r="71" spans="1:14" x14ac:dyDescent="0.25">
      <c r="A71" s="240" t="s">
        <v>254</v>
      </c>
      <c r="B71" s="239">
        <f>B21</f>
        <v>12125616.482000001</v>
      </c>
      <c r="C71" s="239">
        <f t="shared" ref="C71:E71" si="8">C21</f>
        <v>6824857.9400000004</v>
      </c>
      <c r="D71" s="239">
        <f t="shared" si="8"/>
        <v>13649715.880000001</v>
      </c>
      <c r="E71" s="239">
        <f t="shared" si="8"/>
        <v>13159645.093119999</v>
      </c>
      <c r="M71" s="239"/>
    </row>
    <row r="73" spans="1:14" x14ac:dyDescent="0.25">
      <c r="A73" s="240" t="s">
        <v>258</v>
      </c>
      <c r="B73" s="239">
        <f>B26</f>
        <v>8709274.0457402319</v>
      </c>
      <c r="C73" s="239">
        <f t="shared" ref="C73:E73" si="9">C26</f>
        <v>3790774.8999999994</v>
      </c>
      <c r="D73" s="239">
        <f t="shared" si="9"/>
        <v>7581549.7999999989</v>
      </c>
      <c r="E73" s="239">
        <f t="shared" si="9"/>
        <v>9637896.2705678586</v>
      </c>
      <c r="M73" s="239"/>
    </row>
    <row r="75" spans="1:14" x14ac:dyDescent="0.25">
      <c r="A75" s="240" t="s">
        <v>377</v>
      </c>
      <c r="B75" s="239">
        <f>B45-B39</f>
        <v>18495529.314040914</v>
      </c>
      <c r="C75" s="239">
        <f t="shared" ref="C75:E75" si="10">C45-C39</f>
        <v>8585127.5199999996</v>
      </c>
      <c r="D75" s="239">
        <f t="shared" si="10"/>
        <v>17158193.139999997</v>
      </c>
      <c r="E75" s="239">
        <f t="shared" si="10"/>
        <v>19188663.880000088</v>
      </c>
      <c r="M75" s="239"/>
    </row>
    <row r="77" spans="1:14" x14ac:dyDescent="0.25">
      <c r="A77" s="240" t="s">
        <v>306</v>
      </c>
      <c r="B77" s="239">
        <v>-4633422.8320409134</v>
      </c>
      <c r="C77" s="239">
        <f>C47+C39</f>
        <v>-1200089.8199999994</v>
      </c>
      <c r="D77" s="239">
        <f>D47+D39</f>
        <v>-2388117.7399999965</v>
      </c>
      <c r="E77" s="239">
        <f>E47+E39</f>
        <v>-5444518.786880089</v>
      </c>
      <c r="M77" s="239"/>
    </row>
    <row r="79" spans="1:14" x14ac:dyDescent="0.25">
      <c r="A79" s="240" t="s">
        <v>307</v>
      </c>
      <c r="B79" s="239">
        <v>-7197422.8320409134</v>
      </c>
      <c r="C79" s="239">
        <f>C77-C39</f>
        <v>-2089142.9099999992</v>
      </c>
      <c r="D79" s="239">
        <f>D77-D39</f>
        <v>-4166223.9199999962</v>
      </c>
      <c r="E79" s="239">
        <f>E77-E39</f>
        <v>-8520269.128413422</v>
      </c>
      <c r="M79" s="239"/>
    </row>
  </sheetData>
  <pageMargins left="0.25" right="0.25" top="0.75" bottom="0.75" header="0.3" footer="0.3"/>
  <pageSetup scale="6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D09-EF97-4F0B-BC7E-B5E1BEB7A903}">
  <sheetPr>
    <pageSetUpPr fitToPage="1"/>
  </sheetPr>
  <dimension ref="A2:I566"/>
  <sheetViews>
    <sheetView topLeftCell="A5" workbookViewId="0">
      <selection activeCell="H28" sqref="H28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170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267626</v>
      </c>
      <c r="D6" s="52">
        <v>184111.24000000002</v>
      </c>
      <c r="E6" s="52">
        <v>368222.48000000004</v>
      </c>
      <c r="F6" s="52">
        <v>368222.48000000004</v>
      </c>
    </row>
    <row r="7" spans="1:9" ht="16.5" thickBot="1" x14ac:dyDescent="0.3">
      <c r="A7" s="4"/>
      <c r="B7" s="28" t="s">
        <v>10</v>
      </c>
      <c r="C7" s="29">
        <f>SUM(C8:C9)</f>
        <v>137185.08764811102</v>
      </c>
      <c r="D7" s="29">
        <f>SUM(D8:D9)</f>
        <v>66225.709999999992</v>
      </c>
      <c r="E7" s="29">
        <f>SUM(E8:E9)</f>
        <v>132451.41999999998</v>
      </c>
      <c r="F7" s="29">
        <f>SUM(F8:F9)</f>
        <v>143163.14975346206</v>
      </c>
      <c r="H7" s="53"/>
      <c r="I7" s="42"/>
    </row>
    <row r="8" spans="1:9" ht="15.75" x14ac:dyDescent="0.25">
      <c r="A8" s="5"/>
      <c r="B8" s="26" t="s">
        <v>11</v>
      </c>
      <c r="C8" s="27">
        <v>108862.29448710023</v>
      </c>
      <c r="D8" s="27">
        <v>54643.519999999997</v>
      </c>
      <c r="E8" s="27">
        <v>109287.03999999998</v>
      </c>
      <c r="F8" s="27">
        <v>113830.65840064801</v>
      </c>
    </row>
    <row r="9" spans="1:9" ht="16.5" thickBot="1" x14ac:dyDescent="0.3">
      <c r="A9" s="5"/>
      <c r="B9" s="30" t="s">
        <v>12</v>
      </c>
      <c r="C9" s="31">
        <v>28322.793161010792</v>
      </c>
      <c r="D9" s="31">
        <v>11582.19</v>
      </c>
      <c r="E9" s="27">
        <v>23164.38</v>
      </c>
      <c r="F9" s="31">
        <v>29332.491352814046</v>
      </c>
    </row>
    <row r="10" spans="1:9" ht="16.5" thickBot="1" x14ac:dyDescent="0.3">
      <c r="A10" s="4"/>
      <c r="B10" s="32" t="s">
        <v>13</v>
      </c>
      <c r="C10" s="34">
        <f>SUM(C11:C20)</f>
        <v>89460</v>
      </c>
      <c r="D10" s="34">
        <f>SUM(D11:D22)</f>
        <v>46237.450000000004</v>
      </c>
      <c r="E10" s="34">
        <f>SUM(E11:E22)</f>
        <v>92474.900000000009</v>
      </c>
      <c r="F10" s="34">
        <f t="shared" ref="F10" si="0">SUM(F11:F20)</f>
        <v>106110</v>
      </c>
    </row>
    <row r="11" spans="1:9" ht="23.25" x14ac:dyDescent="0.35">
      <c r="A11" s="5"/>
      <c r="B11" s="24" t="s">
        <v>127</v>
      </c>
      <c r="C11" s="25">
        <v>52500</v>
      </c>
      <c r="D11" s="25">
        <v>31322.86</v>
      </c>
      <c r="E11" s="27">
        <f t="shared" ref="E11:E25" si="1">D11*2</f>
        <v>62645.72</v>
      </c>
      <c r="F11" s="25">
        <v>64000</v>
      </c>
      <c r="H11" s="7" t="s">
        <v>53</v>
      </c>
      <c r="I11" s="7">
        <v>1</v>
      </c>
    </row>
    <row r="12" spans="1:9" ht="23.25" x14ac:dyDescent="0.35">
      <c r="A12" s="5"/>
      <c r="B12" s="24" t="s">
        <v>26</v>
      </c>
      <c r="C12" s="25">
        <v>3600</v>
      </c>
      <c r="D12" s="25">
        <v>3585.17</v>
      </c>
      <c r="E12" s="27">
        <f t="shared" si="1"/>
        <v>7170.34</v>
      </c>
      <c r="F12" s="25">
        <v>3700</v>
      </c>
      <c r="H12" s="7" t="s">
        <v>58</v>
      </c>
      <c r="I12" s="7" t="s">
        <v>59</v>
      </c>
    </row>
    <row r="13" spans="1:9" ht="15.75" x14ac:dyDescent="0.25">
      <c r="A13" s="5"/>
      <c r="B13" s="24" t="s">
        <v>28</v>
      </c>
      <c r="C13" s="25">
        <v>3500</v>
      </c>
      <c r="D13" s="25"/>
      <c r="E13" s="27">
        <f t="shared" si="1"/>
        <v>0</v>
      </c>
      <c r="F13" s="25">
        <v>3500</v>
      </c>
    </row>
    <row r="14" spans="1:9" ht="15.75" x14ac:dyDescent="0.25">
      <c r="A14" s="5"/>
      <c r="B14" s="24" t="s">
        <v>29</v>
      </c>
      <c r="C14" s="25">
        <v>100</v>
      </c>
      <c r="D14" s="25">
        <v>15.76</v>
      </c>
      <c r="E14" s="27">
        <f t="shared" si="1"/>
        <v>31.52</v>
      </c>
      <c r="F14" s="25">
        <v>100</v>
      </c>
    </row>
    <row r="15" spans="1:9" ht="15.75" x14ac:dyDescent="0.25">
      <c r="A15" s="5"/>
      <c r="B15" s="24" t="s">
        <v>30</v>
      </c>
      <c r="C15" s="25">
        <v>150</v>
      </c>
      <c r="D15" s="25">
        <v>121.19</v>
      </c>
      <c r="E15" s="27">
        <f t="shared" si="1"/>
        <v>242.38</v>
      </c>
      <c r="F15" s="25">
        <v>200</v>
      </c>
    </row>
    <row r="16" spans="1:9" ht="15.75" x14ac:dyDescent="0.25">
      <c r="A16" s="5"/>
      <c r="B16" s="24" t="s">
        <v>132</v>
      </c>
      <c r="C16" s="25">
        <v>10</v>
      </c>
      <c r="D16" s="25">
        <v>6.15</v>
      </c>
      <c r="E16" s="27">
        <f t="shared" si="1"/>
        <v>12.3</v>
      </c>
      <c r="F16" s="25">
        <v>10</v>
      </c>
    </row>
    <row r="17" spans="1:7" ht="15.75" x14ac:dyDescent="0.25">
      <c r="A17" s="5"/>
      <c r="B17" s="24" t="s">
        <v>133</v>
      </c>
      <c r="C17" s="25">
        <v>11000</v>
      </c>
      <c r="D17" s="25">
        <v>5888.52</v>
      </c>
      <c r="E17" s="27">
        <f t="shared" si="1"/>
        <v>11777.04</v>
      </c>
      <c r="F17" s="25">
        <v>14000</v>
      </c>
    </row>
    <row r="18" spans="1:7" ht="15.75" x14ac:dyDescent="0.25">
      <c r="A18" s="5"/>
      <c r="B18" s="24" t="s">
        <v>33</v>
      </c>
      <c r="C18" s="25">
        <v>800</v>
      </c>
      <c r="D18" s="25">
        <v>655.54</v>
      </c>
      <c r="E18" s="27">
        <f t="shared" si="1"/>
        <v>1311.08</v>
      </c>
      <c r="F18" s="25">
        <v>800</v>
      </c>
    </row>
    <row r="19" spans="1:7" ht="15.75" x14ac:dyDescent="0.25">
      <c r="A19" s="5"/>
      <c r="B19" s="24" t="s">
        <v>36</v>
      </c>
      <c r="C19" s="25">
        <v>1800</v>
      </c>
      <c r="D19" s="25"/>
      <c r="E19" s="27">
        <f t="shared" si="1"/>
        <v>0</v>
      </c>
      <c r="F19" s="25">
        <v>1800</v>
      </c>
    </row>
    <row r="20" spans="1:7" ht="15.75" x14ac:dyDescent="0.25">
      <c r="A20" s="5"/>
      <c r="B20" s="24" t="s">
        <v>37</v>
      </c>
      <c r="C20" s="25">
        <v>16000</v>
      </c>
      <c r="D20" s="25">
        <v>3836.88</v>
      </c>
      <c r="E20" s="27">
        <f t="shared" si="1"/>
        <v>7673.76</v>
      </c>
      <c r="F20" s="25">
        <v>18000</v>
      </c>
      <c r="G20" t="s">
        <v>169</v>
      </c>
    </row>
    <row r="21" spans="1:7" ht="15.75" x14ac:dyDescent="0.25">
      <c r="A21" s="5"/>
      <c r="B21" s="61" t="s">
        <v>167</v>
      </c>
      <c r="C21" s="25"/>
      <c r="D21" s="25">
        <v>1011.78</v>
      </c>
      <c r="E21" s="27">
        <f t="shared" si="1"/>
        <v>2023.56</v>
      </c>
      <c r="F21" s="25"/>
    </row>
    <row r="22" spans="1:7" ht="15.75" x14ac:dyDescent="0.25">
      <c r="A22" s="5"/>
      <c r="B22" s="61" t="s">
        <v>168</v>
      </c>
      <c r="C22" s="25"/>
      <c r="D22" s="25">
        <v>-206.4</v>
      </c>
      <c r="E22" s="27">
        <f t="shared" si="1"/>
        <v>-412.8</v>
      </c>
      <c r="F22" s="25"/>
    </row>
    <row r="23" spans="1:7" ht="16.5" thickBot="1" x14ac:dyDescent="0.3">
      <c r="A23" s="4"/>
      <c r="B23" s="57" t="s">
        <v>41</v>
      </c>
      <c r="C23" s="58">
        <f t="shared" ref="C23:E23" si="2">SUM(C24:C25)</f>
        <v>0</v>
      </c>
      <c r="D23" s="58">
        <f t="shared" si="2"/>
        <v>0</v>
      </c>
      <c r="E23" s="58">
        <f t="shared" si="2"/>
        <v>0</v>
      </c>
      <c r="F23" s="59">
        <v>0</v>
      </c>
    </row>
    <row r="24" spans="1:7" ht="15.75" x14ac:dyDescent="0.25">
      <c r="A24" s="5"/>
      <c r="B24" s="26" t="s">
        <v>42</v>
      </c>
      <c r="C24" s="27"/>
      <c r="D24" s="27"/>
      <c r="E24" s="27">
        <f t="shared" si="1"/>
        <v>0</v>
      </c>
      <c r="F24" s="27"/>
    </row>
    <row r="25" spans="1:7" ht="16.5" thickBot="1" x14ac:dyDescent="0.3">
      <c r="A25" s="5"/>
      <c r="B25" s="30" t="s">
        <v>43</v>
      </c>
      <c r="C25" s="31"/>
      <c r="D25" s="31"/>
      <c r="E25" s="27">
        <f t="shared" si="1"/>
        <v>0</v>
      </c>
      <c r="F25" s="31"/>
    </row>
    <row r="26" spans="1:7" ht="16.5" thickBot="1" x14ac:dyDescent="0.3">
      <c r="A26" s="5"/>
      <c r="B26" s="17" t="s">
        <v>50</v>
      </c>
      <c r="C26" s="18">
        <f>C7+C10+C23</f>
        <v>226645.08764811102</v>
      </c>
      <c r="D26" s="18">
        <f>D7+D10+D23</f>
        <v>112463.16</v>
      </c>
      <c r="E26" s="18">
        <f>E7+E10+E23</f>
        <v>224926.32</v>
      </c>
      <c r="F26" s="18">
        <f>F7+F10+F23</f>
        <v>249273.14975346206</v>
      </c>
    </row>
    <row r="27" spans="1:7" ht="16.5" thickBot="1" x14ac:dyDescent="0.3">
      <c r="A27" s="5"/>
      <c r="B27" s="54" t="s">
        <v>137</v>
      </c>
      <c r="C27" s="55">
        <f>C6-C26</f>
        <v>40980.912351888983</v>
      </c>
      <c r="D27" s="55">
        <f t="shared" ref="D27:F27" si="3">D6-D26</f>
        <v>71648.080000000016</v>
      </c>
      <c r="E27" s="55">
        <f t="shared" si="3"/>
        <v>143296.16000000003</v>
      </c>
      <c r="F27" s="55">
        <f t="shared" si="3"/>
        <v>118949.33024653798</v>
      </c>
    </row>
    <row r="28" spans="1:7" ht="15.75" x14ac:dyDescent="0.25">
      <c r="A28" s="5"/>
      <c r="B28" s="5"/>
      <c r="C28" s="13"/>
      <c r="D28" s="13"/>
      <c r="E28" s="13">
        <f>E26/2</f>
        <v>112463.16</v>
      </c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</sheetData>
  <autoFilter ref="B5:F26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BE98-9A5D-412D-A2C0-2E4B1AE837C6}">
  <sheetPr>
    <pageSetUpPr fitToPage="1"/>
  </sheetPr>
  <dimension ref="A2:I565"/>
  <sheetViews>
    <sheetView workbookViewId="0">
      <selection activeCell="B6" sqref="B6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166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4092406.14</v>
      </c>
      <c r="D6" s="52">
        <v>2484156.9400000004</v>
      </c>
      <c r="E6" s="52">
        <v>4968313.8800000008</v>
      </c>
      <c r="F6" s="52">
        <v>4968313.8800000008</v>
      </c>
    </row>
    <row r="7" spans="1:9" ht="16.5" thickBot="1" x14ac:dyDescent="0.3">
      <c r="A7" s="4"/>
      <c r="B7" s="28" t="s">
        <v>10</v>
      </c>
      <c r="C7" s="29">
        <f>SUM(C8:C9)</f>
        <v>386936.2384227236</v>
      </c>
      <c r="D7" s="29">
        <f>SUM(D8:D9)</f>
        <v>178653.29</v>
      </c>
      <c r="E7" s="29">
        <f>SUM(E8:E9)</f>
        <v>357306.58</v>
      </c>
      <c r="F7" s="29">
        <f>SUM(F8:F9)</f>
        <v>431390.67418715497</v>
      </c>
      <c r="H7" s="53"/>
      <c r="I7" s="42"/>
    </row>
    <row r="8" spans="1:9" ht="15.75" x14ac:dyDescent="0.25">
      <c r="A8" s="5"/>
      <c r="B8" s="26" t="s">
        <v>11</v>
      </c>
      <c r="C8" s="27">
        <v>321169.8992303189</v>
      </c>
      <c r="D8" s="27">
        <v>141571.48000000001</v>
      </c>
      <c r="E8" s="27">
        <v>283142.96000000002</v>
      </c>
      <c r="F8" s="27">
        <v>359719.24864351383</v>
      </c>
    </row>
    <row r="9" spans="1:9" ht="16.5" thickBot="1" x14ac:dyDescent="0.3">
      <c r="A9" s="5"/>
      <c r="B9" s="30" t="s">
        <v>12</v>
      </c>
      <c r="C9" s="31">
        <v>65766.339192404717</v>
      </c>
      <c r="D9" s="31">
        <v>37081.810000000005</v>
      </c>
      <c r="E9" s="27">
        <v>74163.62000000001</v>
      </c>
      <c r="F9" s="31">
        <v>71671.425543641162</v>
      </c>
    </row>
    <row r="10" spans="1:9" ht="16.5" thickBot="1" x14ac:dyDescent="0.3">
      <c r="A10" s="4"/>
      <c r="B10" s="32" t="s">
        <v>13</v>
      </c>
      <c r="C10" s="34">
        <f>SUM(C11:C21)</f>
        <v>185750</v>
      </c>
      <c r="D10" s="34">
        <f>SUM(D11:D21)</f>
        <v>97787.08</v>
      </c>
      <c r="E10" s="34">
        <f>SUM(E11:E21)</f>
        <v>195574.16</v>
      </c>
      <c r="F10" s="34">
        <f>SUM(F11:F21)</f>
        <v>278550</v>
      </c>
    </row>
    <row r="11" spans="1:9" ht="23.25" x14ac:dyDescent="0.35">
      <c r="A11" s="5"/>
      <c r="B11" s="24" t="s">
        <v>18</v>
      </c>
      <c r="C11" s="25">
        <v>16500</v>
      </c>
      <c r="D11" s="25">
        <v>6354.9</v>
      </c>
      <c r="E11" s="27">
        <f t="shared" ref="E11:E24" si="0">D11*2</f>
        <v>12709.8</v>
      </c>
      <c r="F11" s="25">
        <v>16500</v>
      </c>
      <c r="H11" s="7" t="s">
        <v>53</v>
      </c>
      <c r="I11" s="7">
        <v>2.15</v>
      </c>
    </row>
    <row r="12" spans="1:9" ht="15.75" x14ac:dyDescent="0.25">
      <c r="A12" s="5"/>
      <c r="B12" s="24" t="s">
        <v>15</v>
      </c>
      <c r="C12" s="25"/>
      <c r="D12" s="25"/>
      <c r="E12" s="27">
        <f t="shared" si="0"/>
        <v>0</v>
      </c>
      <c r="F12" s="25"/>
    </row>
    <row r="13" spans="1:9" ht="23.25" x14ac:dyDescent="0.35">
      <c r="A13" s="5"/>
      <c r="B13" s="24" t="s">
        <v>26</v>
      </c>
      <c r="C13" s="25">
        <v>13000</v>
      </c>
      <c r="D13" s="25">
        <v>8133.79</v>
      </c>
      <c r="E13" s="27">
        <f t="shared" si="0"/>
        <v>16267.58</v>
      </c>
      <c r="F13" s="25">
        <v>15000</v>
      </c>
      <c r="H13" s="7" t="s">
        <v>58</v>
      </c>
      <c r="I13" s="7"/>
    </row>
    <row r="14" spans="1:9" ht="15.75" x14ac:dyDescent="0.25">
      <c r="A14" s="5"/>
      <c r="B14" s="24" t="s">
        <v>28</v>
      </c>
      <c r="C14" s="25">
        <v>1500</v>
      </c>
      <c r="D14" s="25">
        <v>377.81</v>
      </c>
      <c r="E14" s="27">
        <f t="shared" si="0"/>
        <v>755.62</v>
      </c>
      <c r="F14" s="25">
        <v>1500</v>
      </c>
      <c r="H14" t="s">
        <v>163</v>
      </c>
    </row>
    <row r="15" spans="1:9" ht="15.75" x14ac:dyDescent="0.25">
      <c r="A15" s="5"/>
      <c r="B15" s="24" t="s">
        <v>29</v>
      </c>
      <c r="C15" s="25">
        <v>1000</v>
      </c>
      <c r="D15" s="25">
        <v>569.16999999999996</v>
      </c>
      <c r="E15" s="27">
        <f t="shared" si="0"/>
        <v>1138.3399999999999</v>
      </c>
      <c r="F15" s="25">
        <v>1500</v>
      </c>
      <c r="H15" t="s">
        <v>164</v>
      </c>
    </row>
    <row r="16" spans="1:9" ht="15.75" x14ac:dyDescent="0.25">
      <c r="A16" s="5"/>
      <c r="B16" s="24" t="s">
        <v>30</v>
      </c>
      <c r="C16" s="25">
        <v>1200</v>
      </c>
      <c r="D16" s="25">
        <v>1150.8499999999999</v>
      </c>
      <c r="E16" s="27">
        <f t="shared" si="0"/>
        <v>2301.6999999999998</v>
      </c>
      <c r="F16" s="25">
        <v>1500</v>
      </c>
    </row>
    <row r="17" spans="1:7" ht="15.75" x14ac:dyDescent="0.25">
      <c r="A17" s="5"/>
      <c r="B17" s="24" t="s">
        <v>33</v>
      </c>
      <c r="C17" s="25">
        <v>800</v>
      </c>
      <c r="D17" s="25">
        <v>513.91999999999996</v>
      </c>
      <c r="E17" s="27">
        <f t="shared" si="0"/>
        <v>1027.8399999999999</v>
      </c>
      <c r="F17" s="25">
        <v>800</v>
      </c>
    </row>
    <row r="18" spans="1:7" ht="15.75" x14ac:dyDescent="0.25">
      <c r="A18" s="5"/>
      <c r="B18" s="24" t="s">
        <v>34</v>
      </c>
      <c r="C18" s="25">
        <v>43000</v>
      </c>
      <c r="D18" s="25"/>
      <c r="E18" s="27">
        <f t="shared" si="0"/>
        <v>0</v>
      </c>
      <c r="F18" s="25">
        <v>43000</v>
      </c>
    </row>
    <row r="19" spans="1:7" ht="15.75" x14ac:dyDescent="0.25">
      <c r="A19" s="5"/>
      <c r="B19" s="24" t="s">
        <v>36</v>
      </c>
      <c r="C19" s="25">
        <v>48400</v>
      </c>
      <c r="D19" s="25">
        <v>5157.74</v>
      </c>
      <c r="E19" s="27">
        <f t="shared" si="0"/>
        <v>10315.48</v>
      </c>
      <c r="F19" s="25">
        <v>48400</v>
      </c>
    </row>
    <row r="20" spans="1:7" ht="15.75" x14ac:dyDescent="0.25">
      <c r="A20" s="5"/>
      <c r="B20" s="24" t="s">
        <v>37</v>
      </c>
      <c r="C20" s="25">
        <v>60000</v>
      </c>
      <c r="D20" s="25">
        <v>75368.08</v>
      </c>
      <c r="E20" s="27">
        <f t="shared" si="0"/>
        <v>150736.16</v>
      </c>
      <c r="F20" s="25">
        <v>150000</v>
      </c>
      <c r="G20" t="s">
        <v>165</v>
      </c>
    </row>
    <row r="21" spans="1:7" ht="16.5" thickBot="1" x14ac:dyDescent="0.3">
      <c r="A21" s="5"/>
      <c r="B21" s="24" t="s">
        <v>40</v>
      </c>
      <c r="C21" s="25">
        <v>350</v>
      </c>
      <c r="D21" s="25">
        <v>160.82</v>
      </c>
      <c r="E21" s="27">
        <f t="shared" si="0"/>
        <v>321.64</v>
      </c>
      <c r="F21" s="25">
        <v>350</v>
      </c>
    </row>
    <row r="22" spans="1:7" ht="16.5" thickBot="1" x14ac:dyDescent="0.3">
      <c r="A22" s="4"/>
      <c r="B22" s="32" t="s">
        <v>41</v>
      </c>
      <c r="C22" s="34">
        <v>4000</v>
      </c>
      <c r="D22" s="33">
        <f t="shared" ref="D22:E22" si="1">SUM(D23:D24)</f>
        <v>150</v>
      </c>
      <c r="E22" s="33">
        <f t="shared" si="1"/>
        <v>300</v>
      </c>
      <c r="F22" s="34">
        <v>4000</v>
      </c>
    </row>
    <row r="23" spans="1:7" ht="15.75" x14ac:dyDescent="0.25">
      <c r="A23" s="5"/>
      <c r="B23" s="26" t="s">
        <v>42</v>
      </c>
      <c r="C23" s="27">
        <v>2000</v>
      </c>
      <c r="D23" s="27">
        <v>150</v>
      </c>
      <c r="E23" s="27">
        <f t="shared" si="0"/>
        <v>300</v>
      </c>
      <c r="F23" s="27">
        <v>2000</v>
      </c>
    </row>
    <row r="24" spans="1:7" ht="16.5" thickBot="1" x14ac:dyDescent="0.3">
      <c r="A24" s="5"/>
      <c r="B24" s="30" t="s">
        <v>43</v>
      </c>
      <c r="C24" s="31">
        <v>2000</v>
      </c>
      <c r="D24" s="31"/>
      <c r="E24" s="27">
        <f t="shared" si="0"/>
        <v>0</v>
      </c>
      <c r="F24" s="31">
        <v>2000</v>
      </c>
    </row>
    <row r="25" spans="1:7" ht="16.5" thickBot="1" x14ac:dyDescent="0.3">
      <c r="A25" s="5"/>
      <c r="B25" s="17" t="s">
        <v>50</v>
      </c>
      <c r="C25" s="18">
        <f>C7+C10+C22</f>
        <v>576686.2384227236</v>
      </c>
      <c r="D25" s="18">
        <f>D7+D10+D22</f>
        <v>276590.37</v>
      </c>
      <c r="E25" s="18">
        <f>E7+E10+E22</f>
        <v>553180.74</v>
      </c>
      <c r="F25" s="18">
        <f>F7+F10+F22</f>
        <v>713940.67418715497</v>
      </c>
    </row>
    <row r="26" spans="1:7" ht="16.5" thickBot="1" x14ac:dyDescent="0.3">
      <c r="A26" s="5"/>
      <c r="B26" s="54" t="s">
        <v>137</v>
      </c>
      <c r="C26" s="55">
        <f t="shared" ref="C26:E26" si="2">C6-C25</f>
        <v>3515719.9015772766</v>
      </c>
      <c r="D26" s="55">
        <f t="shared" si="2"/>
        <v>2207566.5700000003</v>
      </c>
      <c r="E26" s="55">
        <f t="shared" si="2"/>
        <v>4415133.1400000006</v>
      </c>
      <c r="F26" s="55">
        <f>F6-F25</f>
        <v>4254373.2058128454</v>
      </c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</sheetData>
  <autoFilter ref="B5:F25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A343-8AE4-40DF-9BF5-67FD4BFA003B}">
  <sheetPr>
    <pageSetUpPr fitToPage="1"/>
  </sheetPr>
  <dimension ref="A2:I549"/>
  <sheetViews>
    <sheetView topLeftCell="A5" workbookViewId="0">
      <selection activeCell="B12" sqref="B12:F12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7.140625" customWidth="1"/>
    <col min="9" max="9" width="17.28515625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157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3471743.6599999997</v>
      </c>
      <c r="D6" s="52">
        <v>1992916.0199999998</v>
      </c>
      <c r="E6" s="52">
        <v>3985832.0399999996</v>
      </c>
      <c r="F6" s="52">
        <v>3985832.0399999996</v>
      </c>
    </row>
    <row r="7" spans="1:9" ht="16.5" thickBot="1" x14ac:dyDescent="0.3">
      <c r="A7" s="4"/>
      <c r="B7" s="28" t="s">
        <v>10</v>
      </c>
      <c r="C7" s="29">
        <f>SUM(C8:C9)</f>
        <v>423060.55185784126</v>
      </c>
      <c r="D7" s="29">
        <f>SUM(D8:D9)</f>
        <v>221012.79</v>
      </c>
      <c r="E7" s="29">
        <f>SUM(E8:E9)</f>
        <v>442025.58</v>
      </c>
      <c r="F7" s="29">
        <v>458778.02006913297</v>
      </c>
      <c r="H7" s="53"/>
      <c r="I7" s="42"/>
    </row>
    <row r="8" spans="1:9" ht="15.75" x14ac:dyDescent="0.25">
      <c r="A8" s="5"/>
      <c r="B8" s="26" t="s">
        <v>11</v>
      </c>
      <c r="C8" s="27">
        <v>350931.30241833476</v>
      </c>
      <c r="D8" s="27">
        <v>179269.79</v>
      </c>
      <c r="E8" s="27">
        <v>358539.58</v>
      </c>
      <c r="F8" s="27">
        <v>380616.06932388892</v>
      </c>
    </row>
    <row r="9" spans="1:9" ht="16.5" thickBot="1" x14ac:dyDescent="0.3">
      <c r="A9" s="5"/>
      <c r="B9" s="30" t="s">
        <v>12</v>
      </c>
      <c r="C9" s="31">
        <v>72129.249439506486</v>
      </c>
      <c r="D9" s="31">
        <v>41743</v>
      </c>
      <c r="E9" s="27">
        <v>83486</v>
      </c>
      <c r="F9" s="31">
        <v>78161.950745244059</v>
      </c>
    </row>
    <row r="10" spans="1:9" ht="24" thickBot="1" x14ac:dyDescent="0.4">
      <c r="A10" s="4"/>
      <c r="B10" s="32" t="s">
        <v>13</v>
      </c>
      <c r="C10" s="34">
        <f>SUM(C11:C21)</f>
        <v>491250</v>
      </c>
      <c r="D10" s="34">
        <f>SUM(D11:D21)</f>
        <v>298461.53999999998</v>
      </c>
      <c r="E10" s="34">
        <f>SUM(E11:E21)</f>
        <v>596923.07999999996</v>
      </c>
      <c r="F10" s="34">
        <v>565950</v>
      </c>
      <c r="H10" s="7" t="s">
        <v>53</v>
      </c>
      <c r="I10" s="7">
        <v>3.5</v>
      </c>
    </row>
    <row r="11" spans="1:9" ht="23.25" x14ac:dyDescent="0.35">
      <c r="A11" s="5"/>
      <c r="B11" s="24" t="s">
        <v>18</v>
      </c>
      <c r="C11" s="25">
        <v>0</v>
      </c>
      <c r="D11" s="25">
        <v>147.69</v>
      </c>
      <c r="E11" s="27">
        <f t="shared" ref="E11:E24" si="0">D11*2</f>
        <v>295.38</v>
      </c>
      <c r="F11" s="25">
        <v>300</v>
      </c>
      <c r="H11" s="60" t="s">
        <v>158</v>
      </c>
      <c r="I11" s="50"/>
    </row>
    <row r="12" spans="1:9" ht="15.75" x14ac:dyDescent="0.25">
      <c r="A12" s="5"/>
      <c r="B12" s="24" t="s">
        <v>26</v>
      </c>
      <c r="C12" s="25">
        <v>210000</v>
      </c>
      <c r="D12" s="25">
        <v>135941.68</v>
      </c>
      <c r="E12" s="27">
        <f t="shared" si="0"/>
        <v>271883.36</v>
      </c>
      <c r="F12" s="25">
        <v>230000</v>
      </c>
    </row>
    <row r="13" spans="1:9" ht="23.25" x14ac:dyDescent="0.35">
      <c r="A13" s="5"/>
      <c r="B13" s="24" t="s">
        <v>28</v>
      </c>
      <c r="C13" s="25">
        <v>1000</v>
      </c>
      <c r="D13" s="25">
        <v>810.16</v>
      </c>
      <c r="E13" s="27">
        <f t="shared" si="0"/>
        <v>1620.32</v>
      </c>
      <c r="F13" s="25">
        <v>1000</v>
      </c>
      <c r="H13" s="7" t="s">
        <v>58</v>
      </c>
      <c r="I13" s="7" t="s">
        <v>59</v>
      </c>
    </row>
    <row r="14" spans="1:9" ht="15.75" x14ac:dyDescent="0.25">
      <c r="A14" s="5"/>
      <c r="B14" s="24" t="s">
        <v>29</v>
      </c>
      <c r="C14" s="25">
        <v>5000</v>
      </c>
      <c r="D14" s="25">
        <v>1128.53</v>
      </c>
      <c r="E14" s="27">
        <f t="shared" si="0"/>
        <v>2257.06</v>
      </c>
      <c r="F14" s="25">
        <v>5000</v>
      </c>
    </row>
    <row r="15" spans="1:9" ht="15.75" x14ac:dyDescent="0.25">
      <c r="A15" s="5"/>
      <c r="B15" s="24" t="s">
        <v>30</v>
      </c>
      <c r="C15" s="25">
        <v>2000</v>
      </c>
      <c r="D15" s="25">
        <v>945.88</v>
      </c>
      <c r="E15" s="27">
        <f t="shared" si="0"/>
        <v>1891.76</v>
      </c>
      <c r="F15" s="25">
        <v>3000</v>
      </c>
    </row>
    <row r="16" spans="1:9" ht="15.75" x14ac:dyDescent="0.25">
      <c r="A16" s="5"/>
      <c r="B16" s="24" t="s">
        <v>33</v>
      </c>
      <c r="C16" s="25">
        <v>9000</v>
      </c>
      <c r="D16" s="25">
        <v>6801.09</v>
      </c>
      <c r="E16" s="27">
        <f t="shared" si="0"/>
        <v>13602.18</v>
      </c>
      <c r="F16" s="25">
        <v>10000</v>
      </c>
    </row>
    <row r="17" spans="1:7" ht="15.75" x14ac:dyDescent="0.25">
      <c r="A17" s="5"/>
      <c r="B17" s="24" t="s">
        <v>34</v>
      </c>
      <c r="C17" s="25">
        <v>18600</v>
      </c>
      <c r="D17" s="25">
        <v>9300</v>
      </c>
      <c r="E17" s="27">
        <f t="shared" si="0"/>
        <v>18600</v>
      </c>
      <c r="F17" s="25">
        <v>36000</v>
      </c>
    </row>
    <row r="18" spans="1:7" ht="15.75" x14ac:dyDescent="0.25">
      <c r="A18" s="5"/>
      <c r="B18" s="24" t="s">
        <v>36</v>
      </c>
      <c r="C18" s="25">
        <v>45000</v>
      </c>
      <c r="D18" s="25">
        <v>23918.52</v>
      </c>
      <c r="E18" s="27">
        <f t="shared" si="0"/>
        <v>47837.04</v>
      </c>
      <c r="F18" s="25">
        <v>50000</v>
      </c>
      <c r="G18" t="s">
        <v>160</v>
      </c>
    </row>
    <row r="19" spans="1:7" ht="15.75" x14ac:dyDescent="0.25">
      <c r="A19" s="5"/>
      <c r="B19" s="24" t="s">
        <v>37</v>
      </c>
      <c r="C19" s="25">
        <v>200000</v>
      </c>
      <c r="D19" s="25">
        <v>119279.99</v>
      </c>
      <c r="E19" s="27">
        <f t="shared" si="0"/>
        <v>238559.98</v>
      </c>
      <c r="F19" s="25">
        <v>230000</v>
      </c>
      <c r="G19" s="8" t="s">
        <v>159</v>
      </c>
    </row>
    <row r="20" spans="1:7" ht="15.75" x14ac:dyDescent="0.25">
      <c r="A20" s="5"/>
      <c r="B20" s="24" t="s">
        <v>135</v>
      </c>
      <c r="C20" s="25">
        <v>100</v>
      </c>
      <c r="D20" s="25"/>
      <c r="E20" s="27">
        <f t="shared" si="0"/>
        <v>0</v>
      </c>
      <c r="F20" s="25">
        <v>100</v>
      </c>
    </row>
    <row r="21" spans="1:7" ht="16.5" thickBot="1" x14ac:dyDescent="0.3">
      <c r="A21" s="5"/>
      <c r="B21" s="24" t="s">
        <v>40</v>
      </c>
      <c r="C21" s="25">
        <v>550</v>
      </c>
      <c r="D21" s="25">
        <v>188</v>
      </c>
      <c r="E21" s="27">
        <f t="shared" si="0"/>
        <v>376</v>
      </c>
      <c r="F21" s="25">
        <v>550</v>
      </c>
    </row>
    <row r="22" spans="1:7" ht="16.5" thickBot="1" x14ac:dyDescent="0.3">
      <c r="A22" s="4"/>
      <c r="B22" s="32" t="s">
        <v>41</v>
      </c>
      <c r="C22" s="33">
        <f t="shared" ref="C22:E22" si="1">SUM(C23:C24)</f>
        <v>3000</v>
      </c>
      <c r="D22" s="33">
        <f t="shared" si="1"/>
        <v>0</v>
      </c>
      <c r="E22" s="33">
        <f t="shared" si="1"/>
        <v>0</v>
      </c>
      <c r="F22" s="34">
        <v>3000</v>
      </c>
    </row>
    <row r="23" spans="1:7" ht="15.75" x14ac:dyDescent="0.25">
      <c r="A23" s="5"/>
      <c r="B23" s="26" t="s">
        <v>42</v>
      </c>
      <c r="C23" s="27">
        <v>3000</v>
      </c>
      <c r="D23" s="27">
        <v>0</v>
      </c>
      <c r="E23" s="27">
        <f t="shared" si="0"/>
        <v>0</v>
      </c>
      <c r="F23" s="27">
        <v>3000</v>
      </c>
    </row>
    <row r="24" spans="1:7" ht="16.5" thickBot="1" x14ac:dyDescent="0.3">
      <c r="A24" s="5"/>
      <c r="B24" s="30" t="s">
        <v>43</v>
      </c>
      <c r="C24" s="31">
        <v>0</v>
      </c>
      <c r="D24" s="31">
        <v>0</v>
      </c>
      <c r="E24" s="27">
        <f t="shared" si="0"/>
        <v>0</v>
      </c>
      <c r="F24" s="31">
        <v>0</v>
      </c>
    </row>
    <row r="25" spans="1:7" ht="16.5" thickBot="1" x14ac:dyDescent="0.3">
      <c r="A25" s="5"/>
      <c r="B25" s="17" t="s">
        <v>50</v>
      </c>
      <c r="C25" s="18">
        <f>C7+C10+C22</f>
        <v>917310.5518578412</v>
      </c>
      <c r="D25" s="18">
        <f>D7+D10+D22</f>
        <v>519474.32999999996</v>
      </c>
      <c r="E25" s="18">
        <f>E7+E10+E22</f>
        <v>1038948.6599999999</v>
      </c>
      <c r="F25" s="18">
        <f>F7+F10+F22</f>
        <v>1027728.020069133</v>
      </c>
    </row>
    <row r="26" spans="1:7" ht="16.5" thickBot="1" x14ac:dyDescent="0.3">
      <c r="A26" s="5"/>
      <c r="B26" s="54" t="s">
        <v>137</v>
      </c>
      <c r="C26" s="55">
        <f>C6-C25</f>
        <v>2554433.1081421585</v>
      </c>
      <c r="D26" s="55">
        <f t="shared" ref="D26:F26" si="2">D6-D25</f>
        <v>1473441.69</v>
      </c>
      <c r="E26" s="55">
        <f t="shared" si="2"/>
        <v>2946883.38</v>
      </c>
      <c r="F26" s="55">
        <f t="shared" si="2"/>
        <v>2958104.0199308665</v>
      </c>
    </row>
    <row r="27" spans="1:7" ht="15.75" x14ac:dyDescent="0.25">
      <c r="A27" s="5"/>
      <c r="B27" s="5"/>
      <c r="C27" s="13"/>
      <c r="D27" s="13"/>
      <c r="E27" s="13"/>
      <c r="F27" s="14"/>
    </row>
    <row r="28" spans="1:7" ht="16.5" thickBot="1" x14ac:dyDescent="0.3">
      <c r="A28" s="5"/>
      <c r="B28" s="5"/>
      <c r="C28" s="13"/>
      <c r="D28" s="13"/>
      <c r="E28" s="13"/>
      <c r="F28" s="14"/>
    </row>
    <row r="29" spans="1:7" ht="51" x14ac:dyDescent="0.25">
      <c r="A29" s="5"/>
      <c r="B29" s="36" t="s">
        <v>161</v>
      </c>
      <c r="C29" s="20" t="s">
        <v>67</v>
      </c>
      <c r="D29" s="20" t="s">
        <v>66</v>
      </c>
      <c r="E29" s="20" t="s">
        <v>70</v>
      </c>
      <c r="F29" s="21" t="s">
        <v>68</v>
      </c>
    </row>
    <row r="30" spans="1:7" ht="16.5" thickBot="1" x14ac:dyDescent="0.3">
      <c r="A30" s="5"/>
      <c r="B30" s="51" t="s">
        <v>126</v>
      </c>
      <c r="C30" s="52">
        <v>45000</v>
      </c>
      <c r="D30" s="52">
        <v>21264.32</v>
      </c>
      <c r="E30" s="52">
        <v>42528.639999999999</v>
      </c>
      <c r="F30" s="52">
        <v>44655.072</v>
      </c>
    </row>
    <row r="31" spans="1:7" ht="16.5" thickBot="1" x14ac:dyDescent="0.3">
      <c r="A31" s="5"/>
      <c r="B31" s="32" t="s">
        <v>13</v>
      </c>
      <c r="C31" s="34">
        <v>40000</v>
      </c>
      <c r="D31" s="34">
        <v>18103</v>
      </c>
      <c r="E31" s="34">
        <v>36206</v>
      </c>
      <c r="F31" s="34">
        <v>45000</v>
      </c>
    </row>
    <row r="32" spans="1:7" ht="16.5" thickBot="1" x14ac:dyDescent="0.3">
      <c r="A32" s="5"/>
      <c r="B32" s="24" t="s">
        <v>162</v>
      </c>
      <c r="C32" s="25">
        <v>40000</v>
      </c>
      <c r="D32" s="25">
        <v>18103</v>
      </c>
      <c r="E32" s="27">
        <v>36206</v>
      </c>
      <c r="F32" s="25">
        <v>45000</v>
      </c>
    </row>
    <row r="33" spans="1:6" ht="16.5" thickBot="1" x14ac:dyDescent="0.3">
      <c r="A33" s="5"/>
      <c r="B33" s="17" t="s">
        <v>50</v>
      </c>
      <c r="C33" s="18">
        <f>C31</f>
        <v>40000</v>
      </c>
      <c r="D33" s="18">
        <f t="shared" ref="D33:F33" si="3">D31</f>
        <v>18103</v>
      </c>
      <c r="E33" s="18">
        <f t="shared" si="3"/>
        <v>36206</v>
      </c>
      <c r="F33" s="18">
        <f t="shared" si="3"/>
        <v>45000</v>
      </c>
    </row>
    <row r="34" spans="1:6" ht="16.5" thickBot="1" x14ac:dyDescent="0.3">
      <c r="A34" s="5"/>
      <c r="B34" s="54" t="s">
        <v>137</v>
      </c>
      <c r="C34" s="55">
        <f>C30-C33</f>
        <v>5000</v>
      </c>
      <c r="D34" s="55">
        <f t="shared" ref="D34:F34" si="4">D30-D33</f>
        <v>3161.3199999999997</v>
      </c>
      <c r="E34" s="55">
        <f t="shared" si="4"/>
        <v>6322.6399999999994</v>
      </c>
      <c r="F34" s="55">
        <f t="shared" si="4"/>
        <v>-344.92799999999988</v>
      </c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3"/>
    </row>
    <row r="260" spans="1:6" ht="15.75" x14ac:dyDescent="0.25">
      <c r="A260" s="5"/>
      <c r="B260" s="5"/>
      <c r="C260" s="13"/>
      <c r="D260" s="13"/>
      <c r="E260" s="13"/>
      <c r="F260" s="13"/>
    </row>
    <row r="261" spans="1:6" ht="15.75" x14ac:dyDescent="0.25">
      <c r="A261" s="5"/>
      <c r="B261" s="5"/>
      <c r="C261" s="13"/>
      <c r="D261" s="13"/>
      <c r="E261" s="13"/>
      <c r="F261" s="13"/>
    </row>
    <row r="262" spans="1:6" ht="15.75" x14ac:dyDescent="0.25">
      <c r="A262" s="5"/>
      <c r="B262" s="5"/>
      <c r="C262" s="13"/>
      <c r="D262" s="13"/>
      <c r="E262" s="13"/>
      <c r="F262" s="13"/>
    </row>
    <row r="263" spans="1:6" ht="15.75" x14ac:dyDescent="0.25">
      <c r="A263" s="5"/>
      <c r="B263" s="5"/>
      <c r="C263" s="13"/>
      <c r="D263" s="13"/>
      <c r="E263" s="13"/>
      <c r="F263" s="13"/>
    </row>
    <row r="264" spans="1:6" ht="15.75" x14ac:dyDescent="0.25">
      <c r="A264" s="5"/>
      <c r="B264" s="5"/>
      <c r="C264" s="13"/>
      <c r="D264" s="13"/>
      <c r="E264" s="13"/>
      <c r="F264" s="13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</sheetData>
  <autoFilter ref="B5:F25" xr:uid="{64F5ABAA-8D38-4E3D-AADC-78C7344CE7D1}"/>
  <pageMargins left="0.7" right="0.7" top="0.75" bottom="0.75" header="0.3" footer="0.3"/>
  <pageSetup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6F6B-D0A4-43F1-B589-3BCAB0C72C01}">
  <sheetPr>
    <pageSetUpPr fitToPage="1"/>
  </sheetPr>
  <dimension ref="A2:I564"/>
  <sheetViews>
    <sheetView topLeftCell="A3" workbookViewId="0">
      <selection activeCell="F6" sqref="F6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156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10736</v>
      </c>
      <c r="D6" s="52">
        <v>6481.0499999999993</v>
      </c>
      <c r="E6" s="52">
        <v>12962.099999999999</v>
      </c>
      <c r="F6" s="52">
        <v>12962.099999999999</v>
      </c>
    </row>
    <row r="7" spans="1:9" ht="16.5" thickBot="1" x14ac:dyDescent="0.3">
      <c r="A7" s="4"/>
      <c r="B7" s="28" t="s">
        <v>10</v>
      </c>
      <c r="C7" s="29">
        <f>SUM(C8:C9)</f>
        <v>134974.93790592329</v>
      </c>
      <c r="D7" s="29">
        <f>SUM(D8:D9)</f>
        <v>65020.78</v>
      </c>
      <c r="E7" s="29">
        <f>SUM(E8:E9)</f>
        <v>130041.56</v>
      </c>
      <c r="F7" s="29">
        <v>155961.95086260722</v>
      </c>
      <c r="H7" s="53"/>
      <c r="I7" s="42"/>
    </row>
    <row r="8" spans="1:9" ht="15.75" x14ac:dyDescent="0.25">
      <c r="A8" s="5"/>
      <c r="B8" s="26" t="s">
        <v>11</v>
      </c>
      <c r="C8" s="27">
        <v>97619.270364897471</v>
      </c>
      <c r="D8" s="27">
        <v>44613.23</v>
      </c>
      <c r="E8" s="27">
        <v>89226.46</v>
      </c>
      <c r="F8" s="27">
        <v>120482.44659360001</v>
      </c>
    </row>
    <row r="9" spans="1:9" ht="16.5" thickBot="1" x14ac:dyDescent="0.3">
      <c r="A9" s="5"/>
      <c r="B9" s="30" t="s">
        <v>12</v>
      </c>
      <c r="C9" s="31">
        <v>37355.667541025803</v>
      </c>
      <c r="D9" s="31">
        <v>20407.55</v>
      </c>
      <c r="E9" s="27">
        <v>40815.1</v>
      </c>
      <c r="F9" s="31">
        <v>35479.504269007208</v>
      </c>
    </row>
    <row r="10" spans="1:9" ht="16.5" thickBot="1" x14ac:dyDescent="0.3">
      <c r="A10" s="4"/>
      <c r="B10" s="32" t="s">
        <v>13</v>
      </c>
      <c r="C10" s="34">
        <f>SUM(C11:C19)</f>
        <v>18800</v>
      </c>
      <c r="D10" s="34">
        <f>SUM(D11:D20)</f>
        <v>8599.09</v>
      </c>
      <c r="E10" s="34">
        <f>SUM(E11:E19)</f>
        <v>17038.7</v>
      </c>
      <c r="F10" s="34">
        <v>15800</v>
      </c>
    </row>
    <row r="11" spans="1:9" ht="23.25" x14ac:dyDescent="0.35">
      <c r="A11" s="5"/>
      <c r="B11" s="24" t="s">
        <v>18</v>
      </c>
      <c r="C11" s="25">
        <v>1000</v>
      </c>
      <c r="D11" s="25">
        <v>1074</v>
      </c>
      <c r="E11" s="27">
        <f t="shared" ref="E11:E23" si="0">D11*2</f>
        <v>2148</v>
      </c>
      <c r="F11" s="25">
        <v>1000</v>
      </c>
      <c r="G11" t="s">
        <v>155</v>
      </c>
      <c r="H11" s="7" t="s">
        <v>53</v>
      </c>
      <c r="I11" s="7">
        <v>2</v>
      </c>
    </row>
    <row r="12" spans="1:9" ht="15.75" x14ac:dyDescent="0.25">
      <c r="A12" s="5"/>
      <c r="B12" s="24" t="s">
        <v>26</v>
      </c>
      <c r="C12" s="25">
        <v>800</v>
      </c>
      <c r="D12" s="25">
        <v>459.19</v>
      </c>
      <c r="E12" s="27">
        <f t="shared" si="0"/>
        <v>918.38</v>
      </c>
      <c r="F12" s="25">
        <v>800</v>
      </c>
      <c r="G12" t="s">
        <v>152</v>
      </c>
    </row>
    <row r="13" spans="1:9" ht="23.25" x14ac:dyDescent="0.35">
      <c r="A13" s="5"/>
      <c r="B13" s="24" t="s">
        <v>28</v>
      </c>
      <c r="C13" s="25">
        <v>500</v>
      </c>
      <c r="D13" s="25"/>
      <c r="E13" s="27">
        <f t="shared" si="0"/>
        <v>0</v>
      </c>
      <c r="F13" s="25">
        <v>500</v>
      </c>
      <c r="H13" s="7" t="s">
        <v>58</v>
      </c>
      <c r="I13" s="7" t="s">
        <v>59</v>
      </c>
    </row>
    <row r="14" spans="1:9" ht="15.75" x14ac:dyDescent="0.25">
      <c r="A14" s="5"/>
      <c r="B14" s="24" t="s">
        <v>29</v>
      </c>
      <c r="C14" s="25">
        <v>1000</v>
      </c>
      <c r="D14" s="25">
        <v>161.25</v>
      </c>
      <c r="E14" s="27">
        <f t="shared" si="0"/>
        <v>322.5</v>
      </c>
      <c r="F14" s="25">
        <v>500</v>
      </c>
    </row>
    <row r="15" spans="1:9" ht="15.75" x14ac:dyDescent="0.25">
      <c r="A15" s="5"/>
      <c r="B15" s="24" t="s">
        <v>30</v>
      </c>
      <c r="C15" s="25">
        <v>1000</v>
      </c>
      <c r="D15" s="25">
        <v>387.56</v>
      </c>
      <c r="E15" s="27">
        <f t="shared" si="0"/>
        <v>775.12</v>
      </c>
      <c r="F15" s="25">
        <v>1000</v>
      </c>
    </row>
    <row r="16" spans="1:9" ht="15.75" x14ac:dyDescent="0.25">
      <c r="A16" s="5"/>
      <c r="B16" s="24" t="s">
        <v>33</v>
      </c>
      <c r="C16" s="25">
        <v>2000</v>
      </c>
      <c r="D16" s="25">
        <v>2422.46</v>
      </c>
      <c r="E16" s="27">
        <f t="shared" si="0"/>
        <v>4844.92</v>
      </c>
      <c r="F16" s="25">
        <v>3000</v>
      </c>
    </row>
    <row r="17" spans="1:7" ht="15.75" x14ac:dyDescent="0.25">
      <c r="A17" s="5"/>
      <c r="B17" s="24" t="s">
        <v>36</v>
      </c>
      <c r="C17" s="25">
        <v>8500</v>
      </c>
      <c r="D17" s="25">
        <v>2172.17</v>
      </c>
      <c r="E17" s="27">
        <f t="shared" si="0"/>
        <v>4344.34</v>
      </c>
      <c r="F17" s="25">
        <v>5000</v>
      </c>
      <c r="G17" t="s">
        <v>153</v>
      </c>
    </row>
    <row r="18" spans="1:7" ht="15.75" x14ac:dyDescent="0.25">
      <c r="A18" s="5"/>
      <c r="B18" s="24" t="s">
        <v>37</v>
      </c>
      <c r="C18" s="25">
        <v>3000</v>
      </c>
      <c r="D18" s="25">
        <v>1500</v>
      </c>
      <c r="E18" s="27">
        <f t="shared" si="0"/>
        <v>3000</v>
      </c>
      <c r="F18" s="25">
        <v>3000</v>
      </c>
      <c r="G18" t="s">
        <v>154</v>
      </c>
    </row>
    <row r="19" spans="1:7" ht="15.75" x14ac:dyDescent="0.25">
      <c r="A19" s="5"/>
      <c r="B19" s="24" t="s">
        <v>39</v>
      </c>
      <c r="C19" s="25">
        <v>1000</v>
      </c>
      <c r="D19" s="25">
        <v>342.72</v>
      </c>
      <c r="E19" s="27">
        <f t="shared" si="0"/>
        <v>685.44</v>
      </c>
      <c r="F19" s="25">
        <v>1000</v>
      </c>
    </row>
    <row r="20" spans="1:7" ht="15.75" x14ac:dyDescent="0.25">
      <c r="A20" s="5"/>
      <c r="B20" s="24" t="s">
        <v>132</v>
      </c>
      <c r="C20" s="25"/>
      <c r="D20" s="25">
        <v>79.739999999999995</v>
      </c>
      <c r="E20" s="25">
        <f t="shared" si="0"/>
        <v>159.47999999999999</v>
      </c>
      <c r="F20" s="25"/>
    </row>
    <row r="21" spans="1:7" ht="16.5" thickBot="1" x14ac:dyDescent="0.3">
      <c r="A21" s="4"/>
      <c r="B21" s="57" t="s">
        <v>41</v>
      </c>
      <c r="C21" s="58">
        <f t="shared" ref="C21:E21" si="1">SUM(C22:C23)</f>
        <v>1000</v>
      </c>
      <c r="D21" s="58">
        <f t="shared" si="1"/>
        <v>0</v>
      </c>
      <c r="E21" s="58">
        <f t="shared" si="1"/>
        <v>0</v>
      </c>
      <c r="F21" s="59">
        <v>1000</v>
      </c>
    </row>
    <row r="22" spans="1:7" ht="15.75" x14ac:dyDescent="0.25">
      <c r="A22" s="5"/>
      <c r="B22" s="26" t="s">
        <v>42</v>
      </c>
      <c r="C22" s="27"/>
      <c r="D22" s="27"/>
      <c r="E22" s="27">
        <f t="shared" si="0"/>
        <v>0</v>
      </c>
      <c r="F22" s="27">
        <v>0</v>
      </c>
    </row>
    <row r="23" spans="1:7" ht="16.5" thickBot="1" x14ac:dyDescent="0.3">
      <c r="A23" s="5"/>
      <c r="B23" s="30" t="s">
        <v>43</v>
      </c>
      <c r="C23" s="31">
        <v>1000</v>
      </c>
      <c r="D23" s="31"/>
      <c r="E23" s="27">
        <f t="shared" si="0"/>
        <v>0</v>
      </c>
      <c r="F23" s="31">
        <v>1000</v>
      </c>
    </row>
    <row r="24" spans="1:7" ht="16.5" thickBot="1" x14ac:dyDescent="0.3">
      <c r="A24" s="5"/>
      <c r="B24" s="17" t="s">
        <v>50</v>
      </c>
      <c r="C24" s="18">
        <f>C7+C10+C21</f>
        <v>154774.93790592329</v>
      </c>
      <c r="D24" s="18">
        <f>D7+D10+D21</f>
        <v>73619.87</v>
      </c>
      <c r="E24" s="18">
        <f>E7+E10+E21</f>
        <v>147080.26</v>
      </c>
      <c r="F24" s="18">
        <v>172761.95086260722</v>
      </c>
    </row>
    <row r="25" spans="1:7" ht="16.5" thickBot="1" x14ac:dyDescent="0.3">
      <c r="A25" s="5"/>
      <c r="B25" s="54" t="s">
        <v>137</v>
      </c>
      <c r="C25" s="55">
        <f t="shared" ref="C25:E25" si="2">C6-C24</f>
        <v>-144038.93790592329</v>
      </c>
      <c r="D25" s="55">
        <f t="shared" si="2"/>
        <v>-67138.819999999992</v>
      </c>
      <c r="E25" s="55">
        <f t="shared" si="2"/>
        <v>-134118.16</v>
      </c>
      <c r="F25" s="55">
        <f>F6-F24</f>
        <v>-159799.85086260721</v>
      </c>
    </row>
    <row r="26" spans="1:7" ht="15.75" x14ac:dyDescent="0.25">
      <c r="A26" s="5"/>
      <c r="B26" s="5"/>
      <c r="C26" s="13"/>
      <c r="D26" s="13"/>
      <c r="E26" s="13"/>
      <c r="F26" s="14"/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</sheetData>
  <autoFilter ref="B5:F24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BB95-EAA6-47B2-9D26-DAB63D1D01A0}">
  <sheetPr>
    <pageSetUpPr fitToPage="1"/>
  </sheetPr>
  <dimension ref="A2:I567"/>
  <sheetViews>
    <sheetView topLeftCell="A4" workbookViewId="0">
      <selection activeCell="B18" sqref="B18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23.285156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146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2936965.1999999997</v>
      </c>
      <c r="D6" s="52">
        <v>1303865.03</v>
      </c>
      <c r="E6" s="52">
        <v>2607730.06</v>
      </c>
      <c r="F6" s="52">
        <f>I7*365*I8</f>
        <v>2692218.0999999996</v>
      </c>
    </row>
    <row r="7" spans="1:9" ht="16.5" thickBot="1" x14ac:dyDescent="0.3">
      <c r="A7" s="4"/>
      <c r="B7" s="28" t="s">
        <v>10</v>
      </c>
      <c r="C7" s="29">
        <f>SUM(C8:C9)</f>
        <v>1535611.5693196889</v>
      </c>
      <c r="D7" s="29">
        <f>SUM(D8:D9)</f>
        <v>708274.42</v>
      </c>
      <c r="E7" s="29">
        <f>SUM(E8:E9)</f>
        <v>1416548.84</v>
      </c>
      <c r="F7" s="29">
        <f>SUM(F8:F9)</f>
        <v>1523963.6797104925</v>
      </c>
      <c r="H7" s="53" t="s">
        <v>147</v>
      </c>
      <c r="I7" s="56">
        <v>22</v>
      </c>
    </row>
    <row r="8" spans="1:9" ht="15.75" x14ac:dyDescent="0.25">
      <c r="A8" s="5"/>
      <c r="B8" s="26" t="s">
        <v>11</v>
      </c>
      <c r="C8" s="27">
        <v>1223771.0299110601</v>
      </c>
      <c r="D8" s="27">
        <v>552706.27</v>
      </c>
      <c r="E8" s="27">
        <v>1105412.54</v>
      </c>
      <c r="F8" s="27">
        <v>1231956.5672348284</v>
      </c>
      <c r="H8" s="53" t="s">
        <v>148</v>
      </c>
      <c r="I8">
        <v>335.27</v>
      </c>
    </row>
    <row r="9" spans="1:9" ht="16.5" thickBot="1" x14ac:dyDescent="0.3">
      <c r="A9" s="5"/>
      <c r="B9" s="30" t="s">
        <v>12</v>
      </c>
      <c r="C9" s="31">
        <v>311840.53940862877</v>
      </c>
      <c r="D9" s="31">
        <v>155568.15000000002</v>
      </c>
      <c r="E9" s="27">
        <v>311136.30000000005</v>
      </c>
      <c r="F9" s="31">
        <v>292007.11247566401</v>
      </c>
    </row>
    <row r="10" spans="1:9" ht="24" thickBot="1" x14ac:dyDescent="0.4">
      <c r="A10" s="4"/>
      <c r="B10" s="32" t="s">
        <v>13</v>
      </c>
      <c r="C10" s="34">
        <f>SUM(C11:C23)</f>
        <v>102200</v>
      </c>
      <c r="D10" s="34">
        <f>SUM(D11:D23)</f>
        <v>40894.020000000004</v>
      </c>
      <c r="E10" s="34">
        <f>SUM(E11:E23)</f>
        <v>81788.040000000008</v>
      </c>
      <c r="F10" s="34">
        <f>SUM(F11:F23)</f>
        <v>97300</v>
      </c>
      <c r="H10" s="7" t="s">
        <v>53</v>
      </c>
      <c r="I10" s="7">
        <v>16.399999999999999</v>
      </c>
    </row>
    <row r="11" spans="1:9" ht="15.75" x14ac:dyDescent="0.25">
      <c r="A11" s="5"/>
      <c r="B11" s="24" t="s">
        <v>18</v>
      </c>
      <c r="C11" s="25">
        <v>3700</v>
      </c>
      <c r="D11" s="25">
        <v>2127.54</v>
      </c>
      <c r="E11" s="27">
        <f t="shared" ref="E11:E26" si="0">D11*2</f>
        <v>4255.08</v>
      </c>
      <c r="F11" s="25">
        <v>4500</v>
      </c>
      <c r="G11" t="s">
        <v>149</v>
      </c>
    </row>
    <row r="12" spans="1:9" ht="23.25" x14ac:dyDescent="0.35">
      <c r="A12" s="5"/>
      <c r="B12" s="24" t="s">
        <v>24</v>
      </c>
      <c r="C12" s="25">
        <v>4800</v>
      </c>
      <c r="D12" s="25"/>
      <c r="E12" s="27">
        <f t="shared" si="0"/>
        <v>0</v>
      </c>
      <c r="F12" s="25">
        <v>2500</v>
      </c>
      <c r="H12" s="7" t="s">
        <v>58</v>
      </c>
      <c r="I12" s="7" t="s">
        <v>59</v>
      </c>
    </row>
    <row r="13" spans="1:9" ht="15.75" x14ac:dyDescent="0.25">
      <c r="A13" s="5"/>
      <c r="B13" s="24" t="s">
        <v>26</v>
      </c>
      <c r="C13" s="25">
        <v>19000</v>
      </c>
      <c r="D13" s="25">
        <v>8876.26</v>
      </c>
      <c r="E13" s="27">
        <f t="shared" si="0"/>
        <v>17752.52</v>
      </c>
      <c r="F13" s="25">
        <v>19000</v>
      </c>
    </row>
    <row r="14" spans="1:9" ht="15.75" x14ac:dyDescent="0.25">
      <c r="A14" s="5"/>
      <c r="B14" s="24" t="s">
        <v>28</v>
      </c>
      <c r="C14" s="25">
        <v>13000</v>
      </c>
      <c r="D14" s="25">
        <v>1068.47</v>
      </c>
      <c r="E14" s="27">
        <f t="shared" si="0"/>
        <v>2136.94</v>
      </c>
      <c r="F14" s="25">
        <v>13000</v>
      </c>
    </row>
    <row r="15" spans="1:9" ht="15.75" x14ac:dyDescent="0.25">
      <c r="A15" s="5"/>
      <c r="B15" s="24" t="s">
        <v>29</v>
      </c>
      <c r="C15" s="25">
        <v>26000</v>
      </c>
      <c r="D15" s="25">
        <v>13879.87</v>
      </c>
      <c r="E15" s="27">
        <f t="shared" si="0"/>
        <v>27759.74</v>
      </c>
      <c r="F15" s="25">
        <v>29000</v>
      </c>
    </row>
    <row r="16" spans="1:9" ht="15.75" x14ac:dyDescent="0.25">
      <c r="A16" s="5"/>
      <c r="B16" s="24" t="s">
        <v>30</v>
      </c>
      <c r="C16" s="25">
        <v>700</v>
      </c>
      <c r="D16" s="25">
        <v>286.33999999999997</v>
      </c>
      <c r="E16" s="27">
        <f t="shared" si="0"/>
        <v>572.67999999999995</v>
      </c>
      <c r="F16" s="25">
        <v>700</v>
      </c>
    </row>
    <row r="17" spans="1:7" ht="15.75" x14ac:dyDescent="0.25">
      <c r="A17" s="5"/>
      <c r="B17" s="24" t="s">
        <v>131</v>
      </c>
      <c r="C17" s="25">
        <v>100</v>
      </c>
      <c r="D17" s="25"/>
      <c r="E17" s="27">
        <f t="shared" si="0"/>
        <v>0</v>
      </c>
      <c r="F17" s="25">
        <v>100</v>
      </c>
    </row>
    <row r="18" spans="1:7" ht="15.75" x14ac:dyDescent="0.25">
      <c r="A18" s="5"/>
      <c r="B18" s="24" t="s">
        <v>132</v>
      </c>
      <c r="C18" s="25">
        <v>8900</v>
      </c>
      <c r="D18" s="25">
        <v>4555.2</v>
      </c>
      <c r="E18" s="27">
        <f t="shared" si="0"/>
        <v>9110.4</v>
      </c>
      <c r="F18" s="25">
        <v>5000</v>
      </c>
    </row>
    <row r="19" spans="1:7" ht="15.75" x14ac:dyDescent="0.25">
      <c r="A19" s="5"/>
      <c r="B19" s="24" t="s">
        <v>133</v>
      </c>
      <c r="C19" s="25">
        <v>2200</v>
      </c>
      <c r="D19" s="25">
        <v>437.16</v>
      </c>
      <c r="E19" s="27">
        <f t="shared" si="0"/>
        <v>874.32</v>
      </c>
      <c r="F19" s="25">
        <v>1000</v>
      </c>
    </row>
    <row r="20" spans="1:7" ht="15.75" x14ac:dyDescent="0.25">
      <c r="A20" s="5"/>
      <c r="B20" s="24" t="s">
        <v>134</v>
      </c>
      <c r="C20" s="25">
        <v>4000</v>
      </c>
      <c r="D20" s="25"/>
      <c r="E20" s="27">
        <f t="shared" si="0"/>
        <v>0</v>
      </c>
      <c r="F20" s="25">
        <v>4000</v>
      </c>
    </row>
    <row r="21" spans="1:7" ht="15.75" x14ac:dyDescent="0.25">
      <c r="A21" s="5"/>
      <c r="B21" s="24" t="s">
        <v>33</v>
      </c>
      <c r="C21" s="25">
        <v>300</v>
      </c>
      <c r="D21" s="25">
        <v>236.4</v>
      </c>
      <c r="E21" s="27">
        <f t="shared" si="0"/>
        <v>472.8</v>
      </c>
      <c r="F21" s="25">
        <v>500</v>
      </c>
    </row>
    <row r="22" spans="1:7" ht="15.75" x14ac:dyDescent="0.25">
      <c r="A22" s="5"/>
      <c r="B22" s="24" t="s">
        <v>36</v>
      </c>
      <c r="C22" s="25">
        <v>13000</v>
      </c>
      <c r="D22" s="25">
        <v>6171.78</v>
      </c>
      <c r="E22" s="27">
        <f t="shared" si="0"/>
        <v>12343.56</v>
      </c>
      <c r="F22" s="25">
        <v>13000</v>
      </c>
      <c r="G22" t="s">
        <v>150</v>
      </c>
    </row>
    <row r="23" spans="1:7" ht="16.5" thickBot="1" x14ac:dyDescent="0.3">
      <c r="A23" s="5"/>
      <c r="B23" s="24" t="s">
        <v>37</v>
      </c>
      <c r="C23" s="25">
        <v>6500</v>
      </c>
      <c r="D23" s="25">
        <v>3255</v>
      </c>
      <c r="E23" s="27">
        <f t="shared" si="0"/>
        <v>6510</v>
      </c>
      <c r="F23" s="25">
        <v>5000</v>
      </c>
      <c r="G23" t="s">
        <v>151</v>
      </c>
    </row>
    <row r="24" spans="1:7" ht="16.5" thickBot="1" x14ac:dyDescent="0.3">
      <c r="A24" s="4"/>
      <c r="B24" s="32" t="s">
        <v>41</v>
      </c>
      <c r="C24" s="34">
        <v>3000</v>
      </c>
      <c r="D24" s="33">
        <f t="shared" ref="D24:E24" si="1">SUM(D25:D26)</f>
        <v>100.08</v>
      </c>
      <c r="E24" s="33">
        <f t="shared" si="1"/>
        <v>200.16</v>
      </c>
      <c r="F24" s="34">
        <v>3000</v>
      </c>
    </row>
    <row r="25" spans="1:7" ht="15.75" x14ac:dyDescent="0.25">
      <c r="A25" s="5"/>
      <c r="B25" s="26" t="s">
        <v>42</v>
      </c>
      <c r="C25" s="27">
        <v>1000</v>
      </c>
      <c r="D25" s="27"/>
      <c r="E25" s="27">
        <f t="shared" si="0"/>
        <v>0</v>
      </c>
      <c r="F25" s="27">
        <v>1000</v>
      </c>
    </row>
    <row r="26" spans="1:7" ht="16.5" thickBot="1" x14ac:dyDescent="0.3">
      <c r="A26" s="5"/>
      <c r="B26" s="30" t="s">
        <v>43</v>
      </c>
      <c r="C26" s="31">
        <v>2000</v>
      </c>
      <c r="D26" s="31">
        <v>100.08</v>
      </c>
      <c r="E26" s="27">
        <f t="shared" si="0"/>
        <v>200.16</v>
      </c>
      <c r="F26" s="31">
        <v>2000</v>
      </c>
    </row>
    <row r="27" spans="1:7" ht="16.5" thickBot="1" x14ac:dyDescent="0.3">
      <c r="A27" s="5"/>
      <c r="B27" s="17" t="s">
        <v>50</v>
      </c>
      <c r="C27" s="18">
        <f>C7+C10+C24</f>
        <v>1640811.5693196889</v>
      </c>
      <c r="D27" s="18">
        <f>D7+D10+D24</f>
        <v>749268.52</v>
      </c>
      <c r="E27" s="18">
        <f>E7+E10+E24</f>
        <v>1498537.04</v>
      </c>
      <c r="F27" s="18">
        <f>F7+F10+F24</f>
        <v>1624263.6797104925</v>
      </c>
    </row>
    <row r="28" spans="1:7" ht="16.5" thickBot="1" x14ac:dyDescent="0.3">
      <c r="A28" s="5"/>
      <c r="B28" s="54" t="s">
        <v>137</v>
      </c>
      <c r="C28" s="55">
        <f>C6-C27</f>
        <v>1296153.6306803108</v>
      </c>
      <c r="D28" s="55">
        <f t="shared" ref="D28:F28" si="2">D6-D27</f>
        <v>554596.51</v>
      </c>
      <c r="E28" s="55">
        <f t="shared" si="2"/>
        <v>1109193.02</v>
      </c>
      <c r="F28" s="55">
        <f t="shared" si="2"/>
        <v>1067954.4202895071</v>
      </c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4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  <row r="567" spans="1:6" ht="15.75" x14ac:dyDescent="0.25">
      <c r="A567" s="5"/>
      <c r="B567" s="5"/>
      <c r="C567" s="13"/>
      <c r="D567" s="13"/>
      <c r="E567" s="13"/>
      <c r="F567" s="13"/>
    </row>
  </sheetData>
  <autoFilter ref="B5:F27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47A4-6F1E-41CC-BBAC-8E06342AD791}">
  <sheetPr>
    <pageSetUpPr fitToPage="1"/>
  </sheetPr>
  <dimension ref="A2:I565"/>
  <sheetViews>
    <sheetView workbookViewId="0">
      <selection activeCell="G38" sqref="G38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23.140625" bestFit="1" customWidth="1"/>
    <col min="9" max="9" width="12.140625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143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530892.5</v>
      </c>
      <c r="D6" s="52">
        <v>223304.19</v>
      </c>
      <c r="E6" s="52">
        <f>D6*2</f>
        <v>446608.38</v>
      </c>
      <c r="F6" s="52">
        <v>1088008.3799999999</v>
      </c>
    </row>
    <row r="7" spans="1:9" ht="16.5" thickBot="1" x14ac:dyDescent="0.3">
      <c r="A7" s="4"/>
      <c r="B7" s="28" t="s">
        <v>10</v>
      </c>
      <c r="C7" s="29">
        <f>SUM(C8:C9)</f>
        <v>651258.22717201174</v>
      </c>
      <c r="D7" s="29">
        <f>SUM(D8:D9)</f>
        <v>80651.740000000005</v>
      </c>
      <c r="E7" s="29">
        <f>SUM(E8:E9)</f>
        <v>161303.48000000001</v>
      </c>
      <c r="F7" s="29">
        <v>664910.27636076789</v>
      </c>
      <c r="H7" s="53" t="s">
        <v>136</v>
      </c>
      <c r="I7" s="42">
        <v>3500</v>
      </c>
    </row>
    <row r="8" spans="1:9" ht="15.75" x14ac:dyDescent="0.25">
      <c r="A8" s="5"/>
      <c r="B8" s="26" t="s">
        <v>11</v>
      </c>
      <c r="C8" s="27">
        <v>535061.15418544295</v>
      </c>
      <c r="D8" s="27">
        <v>61666.94</v>
      </c>
      <c r="E8" s="27">
        <f t="shared" ref="E8:E9" si="0">D8*2</f>
        <v>123333.88</v>
      </c>
      <c r="F8" s="27">
        <v>529024.39903999993</v>
      </c>
    </row>
    <row r="9" spans="1:9" ht="24" thickBot="1" x14ac:dyDescent="0.4">
      <c r="A9" s="5"/>
      <c r="B9" s="30" t="s">
        <v>12</v>
      </c>
      <c r="C9" s="31">
        <v>116197.07298656879</v>
      </c>
      <c r="D9" s="31">
        <v>18984.8</v>
      </c>
      <c r="E9" s="27">
        <f t="shared" si="0"/>
        <v>37969.599999999999</v>
      </c>
      <c r="F9" s="31">
        <v>135885.87732076799</v>
      </c>
      <c r="H9" s="7" t="s">
        <v>53</v>
      </c>
      <c r="I9" s="7">
        <v>4.5</v>
      </c>
    </row>
    <row r="10" spans="1:9" ht="16.5" thickBot="1" x14ac:dyDescent="0.3">
      <c r="A10" s="4"/>
      <c r="B10" s="32" t="s">
        <v>13</v>
      </c>
      <c r="C10" s="34">
        <f>SUM(C11:C21)</f>
        <v>28820</v>
      </c>
      <c r="D10" s="34">
        <f>SUM(D11:D21)</f>
        <v>5252.1399999999994</v>
      </c>
      <c r="E10" s="34">
        <f>SUM(E11:E21)</f>
        <v>10504.279999999999</v>
      </c>
      <c r="F10" s="34">
        <v>38400</v>
      </c>
    </row>
    <row r="11" spans="1:9" ht="23.25" x14ac:dyDescent="0.35">
      <c r="A11" s="5"/>
      <c r="B11" s="24" t="s">
        <v>18</v>
      </c>
      <c r="C11" s="25">
        <v>3100</v>
      </c>
      <c r="D11" s="25">
        <v>1492.86</v>
      </c>
      <c r="E11" s="27">
        <f t="shared" ref="E11:E24" si="1">D11*2</f>
        <v>2985.72</v>
      </c>
      <c r="F11" s="25">
        <v>2000</v>
      </c>
      <c r="G11" t="s">
        <v>140</v>
      </c>
      <c r="H11" s="7" t="s">
        <v>58</v>
      </c>
      <c r="I11" s="7"/>
    </row>
    <row r="12" spans="1:9" ht="15.75" x14ac:dyDescent="0.25">
      <c r="A12" s="5"/>
      <c r="B12" s="24" t="s">
        <v>129</v>
      </c>
      <c r="C12" s="25">
        <v>100</v>
      </c>
      <c r="D12" s="25"/>
      <c r="E12" s="27">
        <f t="shared" si="1"/>
        <v>0</v>
      </c>
      <c r="F12" s="25">
        <v>100</v>
      </c>
      <c r="H12" t="s">
        <v>138</v>
      </c>
      <c r="I12" s="40">
        <v>11075</v>
      </c>
    </row>
    <row r="13" spans="1:9" ht="15.75" x14ac:dyDescent="0.25">
      <c r="A13" s="5"/>
      <c r="B13" s="24" t="s">
        <v>130</v>
      </c>
      <c r="C13" s="25">
        <v>700</v>
      </c>
      <c r="D13" s="25"/>
      <c r="E13" s="27">
        <f t="shared" si="1"/>
        <v>0</v>
      </c>
      <c r="F13" s="25">
        <v>700</v>
      </c>
    </row>
    <row r="14" spans="1:9" ht="15.75" x14ac:dyDescent="0.25">
      <c r="A14" s="5"/>
      <c r="B14" s="24" t="s">
        <v>26</v>
      </c>
      <c r="C14" s="25">
        <v>12000</v>
      </c>
      <c r="D14" s="25"/>
      <c r="E14" s="27">
        <f t="shared" si="1"/>
        <v>0</v>
      </c>
      <c r="F14" s="25">
        <v>12000</v>
      </c>
    </row>
    <row r="15" spans="1:9" ht="15.75" x14ac:dyDescent="0.25">
      <c r="A15" s="5"/>
      <c r="B15" s="24" t="s">
        <v>28</v>
      </c>
      <c r="C15" s="25">
        <v>8000</v>
      </c>
      <c r="D15" s="25">
        <v>1235</v>
      </c>
      <c r="E15" s="27">
        <f t="shared" si="1"/>
        <v>2470</v>
      </c>
      <c r="F15" s="25">
        <v>16600</v>
      </c>
      <c r="G15" t="s">
        <v>139</v>
      </c>
    </row>
    <row r="16" spans="1:9" ht="15.75" x14ac:dyDescent="0.25">
      <c r="A16" s="5"/>
      <c r="B16" s="24" t="s">
        <v>29</v>
      </c>
      <c r="C16" s="25">
        <v>2200</v>
      </c>
      <c r="D16" s="25">
        <v>2372.9899999999998</v>
      </c>
      <c r="E16" s="27">
        <f t="shared" si="1"/>
        <v>4745.9799999999996</v>
      </c>
      <c r="F16" s="25">
        <v>5000</v>
      </c>
    </row>
    <row r="17" spans="1:9" ht="15.75" x14ac:dyDescent="0.25">
      <c r="A17" s="5"/>
      <c r="B17" s="24" t="s">
        <v>30</v>
      </c>
      <c r="C17" s="25">
        <v>70</v>
      </c>
      <c r="D17" s="25">
        <v>7.29</v>
      </c>
      <c r="E17" s="27">
        <f t="shared" si="1"/>
        <v>14.58</v>
      </c>
      <c r="F17" s="25">
        <v>50</v>
      </c>
    </row>
    <row r="18" spans="1:9" ht="15.75" x14ac:dyDescent="0.25">
      <c r="A18" s="5"/>
      <c r="B18" s="24" t="s">
        <v>133</v>
      </c>
      <c r="C18" s="25">
        <v>600</v>
      </c>
      <c r="D18" s="25"/>
      <c r="E18" s="27">
        <f t="shared" si="1"/>
        <v>0</v>
      </c>
      <c r="F18" s="25">
        <v>600</v>
      </c>
    </row>
    <row r="19" spans="1:9" ht="15.75" x14ac:dyDescent="0.25">
      <c r="A19" s="5"/>
      <c r="B19" s="24" t="s">
        <v>33</v>
      </c>
      <c r="C19" s="25">
        <v>0</v>
      </c>
      <c r="D19" s="25">
        <v>144</v>
      </c>
      <c r="E19" s="27">
        <f t="shared" si="1"/>
        <v>288</v>
      </c>
      <c r="F19" s="25">
        <v>300</v>
      </c>
    </row>
    <row r="20" spans="1:9" ht="15.75" x14ac:dyDescent="0.25">
      <c r="A20" s="5"/>
      <c r="B20" s="24" t="s">
        <v>36</v>
      </c>
      <c r="C20" s="25">
        <v>2000</v>
      </c>
      <c r="D20" s="25"/>
      <c r="E20" s="27">
        <f t="shared" si="1"/>
        <v>0</v>
      </c>
      <c r="F20" s="25">
        <v>1000</v>
      </c>
    </row>
    <row r="21" spans="1:9" ht="16.5" thickBot="1" x14ac:dyDescent="0.3">
      <c r="A21" s="5"/>
      <c r="B21" s="24" t="s">
        <v>135</v>
      </c>
      <c r="C21" s="25">
        <v>50</v>
      </c>
      <c r="D21" s="25"/>
      <c r="E21" s="27">
        <f t="shared" si="1"/>
        <v>0</v>
      </c>
      <c r="F21" s="25">
        <v>50</v>
      </c>
    </row>
    <row r="22" spans="1:9" ht="16.5" thickBot="1" x14ac:dyDescent="0.3">
      <c r="A22" s="4"/>
      <c r="B22" s="32" t="s">
        <v>41</v>
      </c>
      <c r="C22" s="34">
        <f>SUM(C23:C24)</f>
        <v>15500</v>
      </c>
      <c r="D22" s="33">
        <f t="shared" ref="D22:E22" si="2">SUM(D23:D24)</f>
        <v>804.69</v>
      </c>
      <c r="E22" s="33">
        <f t="shared" si="2"/>
        <v>1609.38</v>
      </c>
      <c r="F22" s="34">
        <f>SUM(F23:F24)</f>
        <v>15500</v>
      </c>
    </row>
    <row r="23" spans="1:9" ht="15.75" x14ac:dyDescent="0.25">
      <c r="A23" s="5"/>
      <c r="B23" s="26" t="s">
        <v>42</v>
      </c>
      <c r="C23" s="27">
        <v>8500</v>
      </c>
      <c r="D23" s="27">
        <v>119</v>
      </c>
      <c r="E23" s="27">
        <f t="shared" si="1"/>
        <v>238</v>
      </c>
      <c r="F23" s="27">
        <v>8500</v>
      </c>
    </row>
    <row r="24" spans="1:9" ht="16.5" thickBot="1" x14ac:dyDescent="0.3">
      <c r="A24" s="5"/>
      <c r="B24" s="30" t="s">
        <v>43</v>
      </c>
      <c r="C24" s="31">
        <v>7000</v>
      </c>
      <c r="D24" s="31">
        <v>685.69</v>
      </c>
      <c r="E24" s="27">
        <f t="shared" si="1"/>
        <v>1371.38</v>
      </c>
      <c r="F24" s="31">
        <v>7000</v>
      </c>
    </row>
    <row r="25" spans="1:9" ht="16.5" thickBot="1" x14ac:dyDescent="0.3">
      <c r="A25" s="5"/>
      <c r="B25" s="17" t="s">
        <v>50</v>
      </c>
      <c r="C25" s="18">
        <f>C7+C10+C22</f>
        <v>695578.22717201174</v>
      </c>
      <c r="D25" s="18">
        <f>D7+D10+D22</f>
        <v>86708.57</v>
      </c>
      <c r="E25" s="18">
        <f>E7+E10+E22</f>
        <v>173417.14</v>
      </c>
      <c r="F25" s="18">
        <f>F7+F10+F22</f>
        <v>718810.27636076789</v>
      </c>
    </row>
    <row r="26" spans="1:9" ht="16.5" thickBot="1" x14ac:dyDescent="0.3">
      <c r="A26" s="5"/>
      <c r="B26" s="54" t="s">
        <v>137</v>
      </c>
      <c r="C26" s="55">
        <f>C6-C25</f>
        <v>-164685.72717201174</v>
      </c>
      <c r="D26" s="55">
        <f t="shared" ref="D26:F26" si="3">D6-D25</f>
        <v>136595.62</v>
      </c>
      <c r="E26" s="55">
        <f t="shared" si="3"/>
        <v>273191.24</v>
      </c>
      <c r="F26" s="55">
        <f t="shared" si="3"/>
        <v>369198.10363923199</v>
      </c>
    </row>
    <row r="27" spans="1:9" ht="15.75" x14ac:dyDescent="0.25">
      <c r="A27" s="5"/>
      <c r="B27" s="5"/>
      <c r="C27" s="13"/>
      <c r="D27" s="13"/>
      <c r="E27" s="13"/>
      <c r="F27" s="14"/>
    </row>
    <row r="28" spans="1:9" ht="15.75" x14ac:dyDescent="0.25">
      <c r="A28" s="5"/>
      <c r="B28" s="5"/>
      <c r="C28" s="13"/>
      <c r="D28" s="13"/>
      <c r="E28" s="13"/>
      <c r="F28" s="14"/>
    </row>
    <row r="29" spans="1:9" ht="16.5" thickBot="1" x14ac:dyDescent="0.3">
      <c r="A29" s="5"/>
      <c r="B29" s="5"/>
      <c r="C29" s="13"/>
      <c r="D29" s="13"/>
      <c r="E29" s="13"/>
      <c r="F29" s="14"/>
    </row>
    <row r="30" spans="1:9" ht="51" x14ac:dyDescent="0.25">
      <c r="A30" s="5"/>
      <c r="B30" s="36" t="s">
        <v>141</v>
      </c>
      <c r="C30" s="20" t="s">
        <v>67</v>
      </c>
      <c r="D30" s="20" t="s">
        <v>66</v>
      </c>
      <c r="E30" s="20" t="s">
        <v>70</v>
      </c>
      <c r="F30" s="21" t="s">
        <v>68</v>
      </c>
    </row>
    <row r="31" spans="1:9" ht="15.75" x14ac:dyDescent="0.25">
      <c r="A31" s="5"/>
      <c r="B31" s="51" t="s">
        <v>126</v>
      </c>
      <c r="C31" s="52">
        <v>582540</v>
      </c>
      <c r="D31" s="52">
        <v>174696.69</v>
      </c>
      <c r="E31" s="52">
        <f>D31*2</f>
        <v>349393.38</v>
      </c>
      <c r="F31" s="52">
        <v>608893.38</v>
      </c>
      <c r="H31" s="53" t="s">
        <v>142</v>
      </c>
      <c r="I31" s="42">
        <v>2000</v>
      </c>
    </row>
    <row r="32" spans="1:9" ht="15.75" x14ac:dyDescent="0.25">
      <c r="A32" s="5"/>
      <c r="B32" s="5"/>
      <c r="C32" s="13"/>
      <c r="D32" s="13"/>
      <c r="E32" s="13"/>
      <c r="F32" s="14"/>
    </row>
    <row r="33" spans="1:8" ht="16.5" thickBot="1" x14ac:dyDescent="0.3">
      <c r="A33" s="5"/>
      <c r="B33" s="5"/>
      <c r="C33" s="13"/>
      <c r="D33" s="13"/>
      <c r="E33" s="13"/>
      <c r="F33" s="14"/>
    </row>
    <row r="34" spans="1:8" ht="51" x14ac:dyDescent="0.25">
      <c r="A34" s="5"/>
      <c r="B34" s="36" t="s">
        <v>144</v>
      </c>
      <c r="C34" s="20" t="s">
        <v>67</v>
      </c>
      <c r="D34" s="20" t="s">
        <v>66</v>
      </c>
      <c r="E34" s="20" t="s">
        <v>70</v>
      </c>
      <c r="F34" s="21" t="s">
        <v>68</v>
      </c>
    </row>
    <row r="35" spans="1:8" ht="15.75" x14ac:dyDescent="0.25">
      <c r="A35" s="5"/>
      <c r="B35" s="51" t="s">
        <v>126</v>
      </c>
      <c r="C35" s="52">
        <v>28958.400000000001</v>
      </c>
      <c r="D35" s="52">
        <v>35049.96</v>
      </c>
      <c r="E35" s="52">
        <v>70099.92</v>
      </c>
      <c r="F35" s="52">
        <v>70099.92</v>
      </c>
      <c r="H35" s="53" t="s">
        <v>145</v>
      </c>
    </row>
    <row r="36" spans="1:8" ht="15.75" x14ac:dyDescent="0.25">
      <c r="A36" s="5"/>
      <c r="B36" s="5"/>
      <c r="C36" s="13"/>
      <c r="D36" s="13"/>
      <c r="E36" s="13"/>
      <c r="F36" s="14"/>
    </row>
    <row r="37" spans="1:8" ht="15.75" x14ac:dyDescent="0.25">
      <c r="A37" s="5"/>
      <c r="B37" s="5"/>
      <c r="C37" s="13"/>
      <c r="D37" s="13"/>
      <c r="E37" s="13"/>
      <c r="F37" s="14"/>
    </row>
    <row r="38" spans="1:8" ht="15.75" x14ac:dyDescent="0.25">
      <c r="A38" s="5"/>
      <c r="B38" s="5"/>
      <c r="C38" s="13"/>
      <c r="D38" s="13"/>
      <c r="E38" s="13"/>
      <c r="F38" s="14"/>
    </row>
    <row r="39" spans="1:8" ht="15.75" x14ac:dyDescent="0.25">
      <c r="A39" s="5"/>
      <c r="B39" s="5"/>
      <c r="C39" s="13"/>
      <c r="D39" s="13"/>
      <c r="E39" s="13"/>
      <c r="F39" s="14"/>
    </row>
    <row r="40" spans="1:8" ht="15.75" x14ac:dyDescent="0.25">
      <c r="A40" s="5"/>
      <c r="B40" s="5"/>
      <c r="C40" s="13"/>
      <c r="D40" s="13"/>
      <c r="E40" s="13"/>
      <c r="F40" s="14"/>
    </row>
    <row r="41" spans="1:8" ht="15.75" x14ac:dyDescent="0.25">
      <c r="A41" s="5"/>
      <c r="B41" s="5"/>
      <c r="C41" s="13"/>
      <c r="D41" s="13"/>
      <c r="E41" s="13"/>
      <c r="F41" s="14"/>
    </row>
    <row r="42" spans="1:8" ht="15.75" x14ac:dyDescent="0.25">
      <c r="A42" s="5"/>
      <c r="B42" s="5"/>
      <c r="C42" s="13"/>
      <c r="D42" s="13"/>
      <c r="E42" s="13"/>
      <c r="F42" s="14"/>
    </row>
    <row r="43" spans="1:8" ht="15.75" x14ac:dyDescent="0.25">
      <c r="A43" s="5"/>
      <c r="B43" s="5"/>
      <c r="C43" s="13"/>
      <c r="D43" s="13"/>
      <c r="E43" s="13"/>
      <c r="F43" s="14"/>
    </row>
    <row r="44" spans="1:8" ht="15.75" x14ac:dyDescent="0.25">
      <c r="A44" s="5"/>
      <c r="B44" s="5"/>
      <c r="C44" s="13"/>
      <c r="D44" s="13"/>
      <c r="E44" s="13"/>
      <c r="F44" s="14"/>
    </row>
    <row r="45" spans="1:8" ht="15.75" x14ac:dyDescent="0.25">
      <c r="A45" s="5"/>
      <c r="B45" s="5"/>
      <c r="C45" s="13"/>
      <c r="D45" s="13"/>
      <c r="E45" s="13"/>
      <c r="F45" s="14"/>
    </row>
    <row r="46" spans="1:8" ht="15.75" x14ac:dyDescent="0.25">
      <c r="A46" s="5"/>
      <c r="B46" s="5"/>
      <c r="C46" s="13"/>
      <c r="D46" s="13"/>
      <c r="E46" s="13"/>
      <c r="F46" s="14"/>
    </row>
    <row r="47" spans="1:8" ht="15.75" x14ac:dyDescent="0.25">
      <c r="A47" s="5"/>
      <c r="B47" s="5"/>
      <c r="C47" s="13"/>
      <c r="D47" s="13"/>
      <c r="E47" s="13"/>
      <c r="F47" s="14"/>
    </row>
    <row r="48" spans="1:8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</sheetData>
  <autoFilter ref="B5:F25" xr:uid="{64F5ABAA-8D38-4E3D-AADC-78C7344CE7D1}"/>
  <pageMargins left="0.7" right="0.7" top="0.75" bottom="0.75" header="0.3" footer="0.3"/>
  <pageSetup scale="6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FF517-4467-4B9D-949E-F150FCB1E374}">
  <sheetPr>
    <pageSetUpPr fitToPage="1"/>
  </sheetPr>
  <dimension ref="A2:I510"/>
  <sheetViews>
    <sheetView topLeftCell="A2" workbookViewId="0">
      <selection activeCell="B27" sqref="B26:B27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9.85546875" customWidth="1"/>
    <col min="9" max="9" width="12.5703125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1.5" x14ac:dyDescent="0.5">
      <c r="A4" s="2"/>
      <c r="B4" s="2"/>
      <c r="C4" s="11"/>
      <c r="D4" s="11"/>
      <c r="E4" s="11"/>
      <c r="F4" s="12"/>
    </row>
    <row r="5" spans="1:9" ht="16.5" thickBot="1" x14ac:dyDescent="0.3">
      <c r="A5" s="5"/>
      <c r="B5" s="5"/>
      <c r="C5" s="13"/>
      <c r="D5" s="13"/>
      <c r="E5" s="13"/>
      <c r="F5" s="14"/>
    </row>
    <row r="6" spans="1:9" ht="51.75" thickBot="1" x14ac:dyDescent="0.4">
      <c r="A6" s="5"/>
      <c r="B6" s="36" t="s">
        <v>125</v>
      </c>
      <c r="C6" s="20" t="s">
        <v>67</v>
      </c>
      <c r="D6" s="20" t="s">
        <v>66</v>
      </c>
      <c r="E6" s="20" t="s">
        <v>70</v>
      </c>
      <c r="F6" s="21" t="s">
        <v>68</v>
      </c>
      <c r="H6" s="7" t="s">
        <v>58</v>
      </c>
      <c r="I6" s="7"/>
    </row>
    <row r="7" spans="1:9" ht="16.5" thickBot="1" x14ac:dyDescent="0.3">
      <c r="A7" s="5"/>
      <c r="B7" s="45" t="s">
        <v>44</v>
      </c>
      <c r="C7" s="43">
        <f>SUM(C8:C10)</f>
        <v>1525</v>
      </c>
      <c r="D7" s="43">
        <f>SUM(D8:D10)</f>
        <v>463.23</v>
      </c>
      <c r="E7" s="43">
        <f>D7*2</f>
        <v>926.46</v>
      </c>
      <c r="F7" s="44">
        <f>SUM(F8:F10)</f>
        <v>1525</v>
      </c>
    </row>
    <row r="8" spans="1:9" ht="16.5" thickBot="1" x14ac:dyDescent="0.3">
      <c r="A8" s="5"/>
      <c r="B8" s="26" t="s">
        <v>45</v>
      </c>
      <c r="C8" s="27">
        <v>400</v>
      </c>
      <c r="D8" s="27">
        <v>212.73</v>
      </c>
      <c r="E8" s="43">
        <f t="shared" ref="E8:E10" si="0">D8*2</f>
        <v>425.46</v>
      </c>
      <c r="F8" s="27">
        <v>400</v>
      </c>
    </row>
    <row r="9" spans="1:9" ht="16.5" thickBot="1" x14ac:dyDescent="0.3">
      <c r="A9" s="5"/>
      <c r="B9" s="24" t="s">
        <v>47</v>
      </c>
      <c r="C9" s="25">
        <v>500</v>
      </c>
      <c r="D9" s="25"/>
      <c r="E9" s="43">
        <f t="shared" si="0"/>
        <v>0</v>
      </c>
      <c r="F9" s="25">
        <v>500</v>
      </c>
    </row>
    <row r="10" spans="1:9" ht="16.5" thickBot="1" x14ac:dyDescent="0.3">
      <c r="A10" s="5"/>
      <c r="B10" s="24" t="s">
        <v>49</v>
      </c>
      <c r="C10" s="25">
        <v>625</v>
      </c>
      <c r="D10" s="25">
        <v>250.5</v>
      </c>
      <c r="E10" s="43">
        <f t="shared" si="0"/>
        <v>501</v>
      </c>
      <c r="F10" s="25">
        <v>625</v>
      </c>
    </row>
    <row r="11" spans="1:9" ht="16.5" thickBot="1" x14ac:dyDescent="0.3">
      <c r="A11" s="5"/>
      <c r="B11" s="22" t="s">
        <v>50</v>
      </c>
      <c r="C11" s="23">
        <f t="shared" ref="C11:E11" si="1">C7</f>
        <v>1525</v>
      </c>
      <c r="D11" s="23">
        <f t="shared" si="1"/>
        <v>463.23</v>
      </c>
      <c r="E11" s="23">
        <f t="shared" si="1"/>
        <v>926.46</v>
      </c>
      <c r="F11" s="23">
        <f>F7</f>
        <v>1525</v>
      </c>
    </row>
    <row r="12" spans="1:9" ht="15.75" x14ac:dyDescent="0.25">
      <c r="A12" s="5"/>
      <c r="B12" s="5"/>
      <c r="C12" s="13"/>
      <c r="D12" s="13"/>
      <c r="E12" s="13"/>
      <c r="F12" s="14"/>
    </row>
    <row r="13" spans="1:9" ht="15.75" x14ac:dyDescent="0.25">
      <c r="A13" s="5"/>
      <c r="B13" s="5"/>
      <c r="C13" s="13"/>
      <c r="D13" s="13"/>
      <c r="E13" s="13"/>
      <c r="F13" s="14"/>
    </row>
    <row r="14" spans="1:9" ht="15.75" x14ac:dyDescent="0.25">
      <c r="A14" s="5"/>
      <c r="B14" s="5"/>
      <c r="C14" s="13"/>
      <c r="D14" s="13"/>
      <c r="E14" s="13"/>
      <c r="F14" s="14"/>
    </row>
    <row r="15" spans="1:9" ht="15.75" x14ac:dyDescent="0.25">
      <c r="A15" s="5"/>
      <c r="B15" s="5"/>
      <c r="C15" s="13"/>
      <c r="D15" s="13"/>
      <c r="E15" s="13"/>
      <c r="F15" s="14"/>
    </row>
    <row r="16" spans="1:9" ht="15.75" x14ac:dyDescent="0.25">
      <c r="A16" s="5"/>
      <c r="B16" s="5"/>
      <c r="C16" s="13"/>
      <c r="D16" s="13"/>
      <c r="E16" s="13"/>
      <c r="F16" s="14"/>
    </row>
    <row r="17" spans="1:6" ht="15.75" x14ac:dyDescent="0.25">
      <c r="A17" s="5"/>
      <c r="B17" s="5"/>
      <c r="C17" s="13"/>
      <c r="D17" s="13"/>
      <c r="E17" s="13"/>
      <c r="F17" s="14"/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3"/>
    </row>
    <row r="221" spans="1:6" ht="15.75" x14ac:dyDescent="0.25">
      <c r="A221" s="5"/>
      <c r="B221" s="5"/>
      <c r="C221" s="13"/>
      <c r="D221" s="13"/>
      <c r="E221" s="13"/>
      <c r="F221" s="13"/>
    </row>
    <row r="222" spans="1:6" ht="15.75" x14ac:dyDescent="0.25">
      <c r="A222" s="5"/>
      <c r="B222" s="5"/>
      <c r="C222" s="13"/>
      <c r="D222" s="13"/>
      <c r="E222" s="13"/>
      <c r="F222" s="13"/>
    </row>
    <row r="223" spans="1:6" ht="15.75" x14ac:dyDescent="0.25">
      <c r="A223" s="5"/>
      <c r="B223" s="5"/>
      <c r="C223" s="13"/>
      <c r="D223" s="13"/>
      <c r="E223" s="13"/>
      <c r="F223" s="13"/>
    </row>
    <row r="224" spans="1:6" ht="15.75" x14ac:dyDescent="0.25">
      <c r="A224" s="5"/>
      <c r="B224" s="5"/>
      <c r="C224" s="13"/>
      <c r="D224" s="13"/>
      <c r="E224" s="13"/>
      <c r="F224" s="13"/>
    </row>
    <row r="225" spans="1:6" ht="15.75" x14ac:dyDescent="0.25">
      <c r="A225" s="5"/>
      <c r="B225" s="5"/>
      <c r="C225" s="13"/>
      <c r="D225" s="13"/>
      <c r="E225" s="13"/>
      <c r="F225" s="13"/>
    </row>
    <row r="226" spans="1:6" ht="15.75" x14ac:dyDescent="0.25">
      <c r="A226" s="5"/>
      <c r="B226" s="5"/>
      <c r="C226" s="13"/>
      <c r="D226" s="13"/>
      <c r="E226" s="13"/>
      <c r="F226" s="13"/>
    </row>
    <row r="227" spans="1:6" ht="15.75" x14ac:dyDescent="0.25">
      <c r="A227" s="5"/>
      <c r="B227" s="5"/>
      <c r="C227" s="13"/>
      <c r="D227" s="13"/>
      <c r="E227" s="13"/>
      <c r="F227" s="13"/>
    </row>
    <row r="228" spans="1:6" ht="15.75" x14ac:dyDescent="0.25">
      <c r="A228" s="5"/>
      <c r="B228" s="5"/>
      <c r="C228" s="13"/>
      <c r="D228" s="13"/>
      <c r="E228" s="13"/>
      <c r="F228" s="13"/>
    </row>
    <row r="229" spans="1:6" ht="15.75" x14ac:dyDescent="0.25">
      <c r="A229" s="5"/>
      <c r="B229" s="5"/>
      <c r="C229" s="13"/>
      <c r="D229" s="13"/>
      <c r="E229" s="13"/>
      <c r="F229" s="13"/>
    </row>
    <row r="230" spans="1:6" ht="15.75" x14ac:dyDescent="0.25">
      <c r="A230" s="5"/>
      <c r="B230" s="5"/>
      <c r="C230" s="13"/>
      <c r="D230" s="13"/>
      <c r="E230" s="13"/>
      <c r="F230" s="13"/>
    </row>
    <row r="231" spans="1:6" ht="15.75" x14ac:dyDescent="0.25">
      <c r="A231" s="5"/>
      <c r="B231" s="5"/>
      <c r="C231" s="13"/>
      <c r="D231" s="13"/>
      <c r="E231" s="13"/>
      <c r="F231" s="13"/>
    </row>
    <row r="232" spans="1:6" ht="15.75" x14ac:dyDescent="0.25">
      <c r="A232" s="5"/>
      <c r="B232" s="5"/>
      <c r="C232" s="13"/>
      <c r="D232" s="13"/>
      <c r="E232" s="13"/>
      <c r="F232" s="13"/>
    </row>
    <row r="233" spans="1:6" ht="15.75" x14ac:dyDescent="0.25">
      <c r="A233" s="5"/>
      <c r="B233" s="5"/>
      <c r="C233" s="13"/>
      <c r="D233" s="13"/>
      <c r="E233" s="13"/>
      <c r="F233" s="13"/>
    </row>
    <row r="234" spans="1:6" ht="15.75" x14ac:dyDescent="0.25">
      <c r="A234" s="5"/>
      <c r="B234" s="5"/>
      <c r="C234" s="13"/>
      <c r="D234" s="13"/>
      <c r="E234" s="13"/>
      <c r="F234" s="13"/>
    </row>
    <row r="235" spans="1:6" ht="15.75" x14ac:dyDescent="0.25">
      <c r="A235" s="5"/>
      <c r="B235" s="5"/>
      <c r="C235" s="13"/>
      <c r="D235" s="13"/>
      <c r="E235" s="13"/>
      <c r="F235" s="13"/>
    </row>
    <row r="236" spans="1:6" ht="15.75" x14ac:dyDescent="0.25">
      <c r="A236" s="5"/>
      <c r="B236" s="5"/>
      <c r="C236" s="13"/>
      <c r="D236" s="13"/>
      <c r="E236" s="13"/>
      <c r="F236" s="13"/>
    </row>
    <row r="237" spans="1:6" ht="15.75" x14ac:dyDescent="0.25">
      <c r="A237" s="5"/>
      <c r="B237" s="5"/>
      <c r="C237" s="13"/>
      <c r="D237" s="13"/>
      <c r="E237" s="13"/>
      <c r="F237" s="13"/>
    </row>
    <row r="238" spans="1:6" ht="15.75" x14ac:dyDescent="0.25">
      <c r="A238" s="5"/>
      <c r="B238" s="5"/>
      <c r="C238" s="13"/>
      <c r="D238" s="13"/>
      <c r="E238" s="13"/>
      <c r="F238" s="13"/>
    </row>
    <row r="239" spans="1:6" ht="15.75" x14ac:dyDescent="0.25">
      <c r="A239" s="5"/>
      <c r="B239" s="5"/>
      <c r="C239" s="13"/>
      <c r="D239" s="13"/>
      <c r="E239" s="13"/>
      <c r="F239" s="13"/>
    </row>
    <row r="240" spans="1:6" ht="15.75" x14ac:dyDescent="0.25">
      <c r="A240" s="5"/>
      <c r="B240" s="5"/>
      <c r="C240" s="13"/>
      <c r="D240" s="13"/>
      <c r="E240" s="13"/>
      <c r="F240" s="13"/>
    </row>
    <row r="241" spans="1:6" ht="15.75" x14ac:dyDescent="0.25">
      <c r="A241" s="5"/>
      <c r="B241" s="5"/>
      <c r="C241" s="13"/>
      <c r="D241" s="13"/>
      <c r="E241" s="13"/>
      <c r="F241" s="13"/>
    </row>
    <row r="242" spans="1:6" ht="15.75" x14ac:dyDescent="0.25">
      <c r="A242" s="5"/>
      <c r="B242" s="5"/>
      <c r="C242" s="13"/>
      <c r="D242" s="13"/>
      <c r="E242" s="13"/>
      <c r="F242" s="13"/>
    </row>
    <row r="243" spans="1:6" ht="15.75" x14ac:dyDescent="0.25">
      <c r="A243" s="5"/>
      <c r="B243" s="5"/>
      <c r="C243" s="13"/>
      <c r="D243" s="13"/>
      <c r="E243" s="13"/>
      <c r="F243" s="13"/>
    </row>
    <row r="244" spans="1:6" ht="15.75" x14ac:dyDescent="0.25">
      <c r="A244" s="5"/>
      <c r="B244" s="5"/>
      <c r="C244" s="13"/>
      <c r="D244" s="13"/>
      <c r="E244" s="13"/>
      <c r="F244" s="13"/>
    </row>
    <row r="245" spans="1:6" ht="15.75" x14ac:dyDescent="0.25">
      <c r="A245" s="5"/>
      <c r="B245" s="5"/>
      <c r="C245" s="13"/>
      <c r="D245" s="13"/>
      <c r="E245" s="13"/>
      <c r="F245" s="13"/>
    </row>
    <row r="246" spans="1:6" ht="15.75" x14ac:dyDescent="0.25">
      <c r="A246" s="5"/>
      <c r="B246" s="5"/>
      <c r="C246" s="13"/>
      <c r="D246" s="13"/>
      <c r="E246" s="13"/>
      <c r="F246" s="13"/>
    </row>
    <row r="247" spans="1:6" ht="15.75" x14ac:dyDescent="0.25">
      <c r="A247" s="5"/>
      <c r="B247" s="5"/>
      <c r="C247" s="13"/>
      <c r="D247" s="13"/>
      <c r="E247" s="13"/>
      <c r="F247" s="13"/>
    </row>
    <row r="248" spans="1:6" ht="15.75" x14ac:dyDescent="0.25">
      <c r="A248" s="5"/>
      <c r="B248" s="5"/>
      <c r="C248" s="13"/>
      <c r="D248" s="13"/>
      <c r="E248" s="13"/>
      <c r="F248" s="13"/>
    </row>
    <row r="249" spans="1:6" ht="15.75" x14ac:dyDescent="0.25">
      <c r="A249" s="5"/>
      <c r="B249" s="5"/>
      <c r="C249" s="13"/>
      <c r="D249" s="13"/>
      <c r="E249" s="13"/>
      <c r="F249" s="13"/>
    </row>
    <row r="250" spans="1:6" ht="15.75" x14ac:dyDescent="0.25">
      <c r="A250" s="5"/>
      <c r="B250" s="5"/>
      <c r="C250" s="13"/>
      <c r="D250" s="13"/>
      <c r="E250" s="13"/>
      <c r="F250" s="13"/>
    </row>
    <row r="251" spans="1:6" ht="15.75" x14ac:dyDescent="0.25">
      <c r="A251" s="5"/>
      <c r="B251" s="5"/>
      <c r="C251" s="13"/>
      <c r="D251" s="13"/>
      <c r="E251" s="13"/>
      <c r="F251" s="13"/>
    </row>
    <row r="252" spans="1:6" ht="15.75" x14ac:dyDescent="0.25">
      <c r="A252" s="5"/>
      <c r="B252" s="5"/>
      <c r="C252" s="13"/>
      <c r="D252" s="13"/>
      <c r="E252" s="13"/>
      <c r="F252" s="13"/>
    </row>
    <row r="253" spans="1:6" ht="15.75" x14ac:dyDescent="0.25">
      <c r="A253" s="5"/>
      <c r="B253" s="5"/>
      <c r="C253" s="13"/>
      <c r="D253" s="13"/>
      <c r="E253" s="13"/>
      <c r="F253" s="13"/>
    </row>
    <row r="254" spans="1:6" ht="15.75" x14ac:dyDescent="0.25">
      <c r="A254" s="5"/>
      <c r="B254" s="5"/>
      <c r="C254" s="13"/>
      <c r="D254" s="13"/>
      <c r="E254" s="13"/>
      <c r="F254" s="13"/>
    </row>
    <row r="255" spans="1:6" ht="15.75" x14ac:dyDescent="0.25">
      <c r="A255" s="5"/>
      <c r="B255" s="5"/>
      <c r="C255" s="13"/>
      <c r="D255" s="13"/>
      <c r="E255" s="13"/>
      <c r="F255" s="13"/>
    </row>
    <row r="256" spans="1:6" ht="15.75" x14ac:dyDescent="0.25">
      <c r="A256" s="5"/>
      <c r="B256" s="5"/>
      <c r="C256" s="13"/>
      <c r="D256" s="13"/>
      <c r="E256" s="13"/>
      <c r="F256" s="13"/>
    </row>
    <row r="257" spans="1:6" ht="15.75" x14ac:dyDescent="0.25">
      <c r="A257" s="5"/>
      <c r="B257" s="5"/>
      <c r="C257" s="13"/>
      <c r="D257" s="13"/>
      <c r="E257" s="13"/>
      <c r="F257" s="13"/>
    </row>
    <row r="258" spans="1:6" ht="15.75" x14ac:dyDescent="0.25">
      <c r="A258" s="5"/>
      <c r="B258" s="5"/>
      <c r="C258" s="13"/>
      <c r="D258" s="13"/>
      <c r="E258" s="13"/>
      <c r="F258" s="13"/>
    </row>
    <row r="259" spans="1:6" ht="15.75" x14ac:dyDescent="0.25">
      <c r="A259" s="5"/>
      <c r="B259" s="5"/>
      <c r="C259" s="13"/>
      <c r="D259" s="13"/>
      <c r="E259" s="13"/>
      <c r="F259" s="13"/>
    </row>
    <row r="260" spans="1:6" ht="15.75" x14ac:dyDescent="0.25">
      <c r="A260" s="5"/>
      <c r="B260" s="5"/>
      <c r="C260" s="13"/>
      <c r="D260" s="13"/>
      <c r="E260" s="13"/>
      <c r="F260" s="13"/>
    </row>
    <row r="261" spans="1:6" ht="15.75" x14ac:dyDescent="0.25">
      <c r="A261" s="5"/>
      <c r="B261" s="5"/>
      <c r="C261" s="13"/>
      <c r="D261" s="13"/>
      <c r="E261" s="13"/>
      <c r="F261" s="13"/>
    </row>
    <row r="262" spans="1:6" ht="15.75" x14ac:dyDescent="0.25">
      <c r="A262" s="5"/>
      <c r="B262" s="5"/>
      <c r="C262" s="13"/>
      <c r="D262" s="13"/>
      <c r="E262" s="13"/>
      <c r="F262" s="13"/>
    </row>
    <row r="263" spans="1:6" ht="15.75" x14ac:dyDescent="0.25">
      <c r="A263" s="5"/>
      <c r="B263" s="5"/>
      <c r="C263" s="13"/>
      <c r="D263" s="13"/>
      <c r="E263" s="13"/>
      <c r="F263" s="13"/>
    </row>
    <row r="264" spans="1:6" ht="15.75" x14ac:dyDescent="0.25">
      <c r="A264" s="5"/>
      <c r="B264" s="5"/>
      <c r="C264" s="13"/>
      <c r="D264" s="13"/>
      <c r="E264" s="13"/>
      <c r="F264" s="13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</sheetData>
  <pageMargins left="0.7" right="0.7" top="0.75" bottom="0.75" header="0.3" footer="0.3"/>
  <pageSetup scale="6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FD1C-F1CE-49AB-8CB8-40A29F61D798}">
  <sheetPr>
    <pageSetUpPr fitToPage="1"/>
  </sheetPr>
  <dimension ref="A2:I555"/>
  <sheetViews>
    <sheetView workbookViewId="0">
      <selection activeCell="B25" sqref="B25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124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1</v>
      </c>
    </row>
    <row r="6" spans="1:9" ht="16.5" thickBot="1" x14ac:dyDescent="0.3">
      <c r="A6" s="4"/>
      <c r="B6" s="28" t="s">
        <v>10</v>
      </c>
      <c r="C6" s="29">
        <f>SUM(C7:C8)</f>
        <v>171953.1596163183</v>
      </c>
      <c r="D6" s="29">
        <f>SUM(D7:D8)</f>
        <v>85013.74</v>
      </c>
      <c r="E6" s="29">
        <f>SUM(E7:E8)</f>
        <v>170027.48</v>
      </c>
      <c r="F6" s="29">
        <v>176314.17341280001</v>
      </c>
    </row>
    <row r="7" spans="1:9" ht="15.75" x14ac:dyDescent="0.25">
      <c r="A7" s="5"/>
      <c r="B7" s="26" t="s">
        <v>11</v>
      </c>
      <c r="C7" s="27">
        <v>138201.81751144846</v>
      </c>
      <c r="D7" s="27">
        <v>69361.8</v>
      </c>
      <c r="E7" s="27">
        <f t="shared" ref="E7:E8" si="0">D7*2</f>
        <v>138723.6</v>
      </c>
      <c r="F7" s="27">
        <v>141822.59520000001</v>
      </c>
    </row>
    <row r="8" spans="1:9" ht="24" thickBot="1" x14ac:dyDescent="0.4">
      <c r="A8" s="5"/>
      <c r="B8" s="30" t="s">
        <v>12</v>
      </c>
      <c r="C8" s="31">
        <v>33751.342104869829</v>
      </c>
      <c r="D8" s="31">
        <v>15651.94</v>
      </c>
      <c r="E8" s="27">
        <f t="shared" si="0"/>
        <v>31303.88</v>
      </c>
      <c r="F8" s="31">
        <v>34491.578212799999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SUM(C10:C11)</f>
        <v>250</v>
      </c>
      <c r="D9" s="34">
        <f>SUM(D10:D11)</f>
        <v>0</v>
      </c>
      <c r="E9" s="34">
        <f>SUM(E10:E11)</f>
        <v>0</v>
      </c>
      <c r="F9" s="34">
        <v>250</v>
      </c>
    </row>
    <row r="10" spans="1:9" ht="15.75" x14ac:dyDescent="0.25">
      <c r="A10" s="5"/>
      <c r="B10" s="24" t="s">
        <v>28</v>
      </c>
      <c r="C10" s="25">
        <v>200</v>
      </c>
      <c r="D10" s="25"/>
      <c r="E10" s="27">
        <f t="shared" ref="E10:E14" si="1">D10*2</f>
        <v>0</v>
      </c>
      <c r="F10" s="25">
        <v>200</v>
      </c>
    </row>
    <row r="11" spans="1:9" ht="16.5" thickBot="1" x14ac:dyDescent="0.3">
      <c r="A11" s="5"/>
      <c r="B11" s="24" t="s">
        <v>30</v>
      </c>
      <c r="C11" s="25">
        <v>50</v>
      </c>
      <c r="D11" s="25"/>
      <c r="E11" s="27">
        <f t="shared" si="1"/>
        <v>0</v>
      </c>
      <c r="F11" s="25">
        <v>50</v>
      </c>
    </row>
    <row r="12" spans="1:9" ht="16.5" thickBot="1" x14ac:dyDescent="0.3">
      <c r="A12" s="4"/>
      <c r="B12" s="32" t="s">
        <v>41</v>
      </c>
      <c r="C12" s="33">
        <f t="shared" ref="C12:E12" si="2">SUM(C13:C14)</f>
        <v>7500</v>
      </c>
      <c r="D12" s="33">
        <f t="shared" si="2"/>
        <v>3109.24</v>
      </c>
      <c r="E12" s="33">
        <f t="shared" si="2"/>
        <v>6218.48</v>
      </c>
      <c r="F12" s="34">
        <v>7500</v>
      </c>
    </row>
    <row r="13" spans="1:9" ht="15.75" x14ac:dyDescent="0.25">
      <c r="A13" s="5"/>
      <c r="B13" s="26" t="s">
        <v>42</v>
      </c>
      <c r="C13" s="27">
        <v>2500</v>
      </c>
      <c r="D13" s="27">
        <v>1218.2</v>
      </c>
      <c r="E13" s="27">
        <f t="shared" si="1"/>
        <v>2436.4</v>
      </c>
      <c r="F13" s="27">
        <v>2500</v>
      </c>
    </row>
    <row r="14" spans="1:9" ht="16.5" thickBot="1" x14ac:dyDescent="0.3">
      <c r="A14" s="5"/>
      <c r="B14" s="30" t="s">
        <v>43</v>
      </c>
      <c r="C14" s="31">
        <v>5000</v>
      </c>
      <c r="D14" s="31">
        <v>1891.04</v>
      </c>
      <c r="E14" s="27">
        <f t="shared" si="1"/>
        <v>3782.08</v>
      </c>
      <c r="F14" s="31">
        <v>5000</v>
      </c>
    </row>
    <row r="15" spans="1:9" ht="16.5" thickBot="1" x14ac:dyDescent="0.3">
      <c r="A15" s="5"/>
      <c r="B15" s="17" t="s">
        <v>50</v>
      </c>
      <c r="C15" s="18">
        <f>C6+C9+C12</f>
        <v>179703.1596163183</v>
      </c>
      <c r="D15" s="18">
        <f>D6+D9+D12</f>
        <v>88122.98000000001</v>
      </c>
      <c r="E15" s="18">
        <f>E6+E9+E12</f>
        <v>176245.96000000002</v>
      </c>
      <c r="F15" s="18">
        <f>F6+F9+F12</f>
        <v>184064.17341280001</v>
      </c>
    </row>
    <row r="16" spans="1:9" ht="15.75" x14ac:dyDescent="0.25">
      <c r="A16" s="5"/>
      <c r="B16" s="5"/>
      <c r="C16" s="13"/>
      <c r="D16" s="13"/>
      <c r="E16" s="13"/>
      <c r="F16" s="14"/>
    </row>
    <row r="17" spans="1:6" ht="15.75" x14ac:dyDescent="0.25">
      <c r="A17" s="5"/>
      <c r="B17" s="5"/>
      <c r="C17" s="13"/>
      <c r="D17" s="13"/>
      <c r="E17" s="13"/>
      <c r="F17" s="14"/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</sheetData>
  <autoFilter ref="B5:F15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B4B4-71FE-4E56-8F88-DBC05531D98F}">
  <sheetPr>
    <pageSetUpPr fitToPage="1"/>
  </sheetPr>
  <dimension ref="A2:I560"/>
  <sheetViews>
    <sheetView workbookViewId="0">
      <selection activeCell="L10" sqref="L1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122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0.5</v>
      </c>
    </row>
    <row r="6" spans="1:9" ht="16.5" thickBot="1" x14ac:dyDescent="0.3">
      <c r="A6" s="4"/>
      <c r="B6" s="28" t="s">
        <v>10</v>
      </c>
      <c r="C6" s="29">
        <f>SUM(C7:C8)</f>
        <v>42065.829399451432</v>
      </c>
      <c r="D6" s="29">
        <f>SUM(D7:D8)</f>
        <v>23914.26</v>
      </c>
      <c r="E6" s="29">
        <f>SUM(E7:E8)</f>
        <v>47828.52</v>
      </c>
      <c r="F6" s="29">
        <v>45895.717524383988</v>
      </c>
    </row>
    <row r="7" spans="1:9" ht="15.75" x14ac:dyDescent="0.25">
      <c r="A7" s="5"/>
      <c r="B7" s="26" t="s">
        <v>11</v>
      </c>
      <c r="C7" s="27">
        <v>34279.535404856004</v>
      </c>
      <c r="D7" s="27">
        <v>21373.26</v>
      </c>
      <c r="E7" s="27">
        <f t="shared" ref="E7:E8" si="0">D7*2</f>
        <v>42746.52</v>
      </c>
      <c r="F7" s="27">
        <v>37400.519519999994</v>
      </c>
    </row>
    <row r="8" spans="1:9" ht="24" thickBot="1" x14ac:dyDescent="0.4">
      <c r="A8" s="5"/>
      <c r="B8" s="30" t="s">
        <v>12</v>
      </c>
      <c r="C8" s="31">
        <v>7786.2939945954249</v>
      </c>
      <c r="D8" s="31">
        <v>2541</v>
      </c>
      <c r="E8" s="27">
        <f t="shared" si="0"/>
        <v>5082</v>
      </c>
      <c r="F8" s="31">
        <v>8495.1980043839976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SUM(C10:C16)</f>
        <v>12730</v>
      </c>
      <c r="D9" s="34">
        <f>SUM(D10:D16)</f>
        <v>6011.37</v>
      </c>
      <c r="E9" s="34">
        <f>SUM(E10:E16)</f>
        <v>12022.74</v>
      </c>
      <c r="F9" s="34">
        <v>13330</v>
      </c>
    </row>
    <row r="10" spans="1:9" ht="15.75" x14ac:dyDescent="0.25">
      <c r="A10" s="5"/>
      <c r="B10" s="24" t="s">
        <v>18</v>
      </c>
      <c r="C10" s="25">
        <v>100</v>
      </c>
      <c r="D10" s="25">
        <v>220</v>
      </c>
      <c r="E10" s="27">
        <f t="shared" ref="E10:E19" si="1">D10*2</f>
        <v>440</v>
      </c>
      <c r="F10" s="25">
        <v>500</v>
      </c>
    </row>
    <row r="11" spans="1:9" ht="15.75" x14ac:dyDescent="0.25">
      <c r="A11" s="5"/>
      <c r="B11" s="24" t="s">
        <v>26</v>
      </c>
      <c r="C11" s="25">
        <v>20</v>
      </c>
      <c r="D11" s="25"/>
      <c r="E11" s="27">
        <f t="shared" si="1"/>
        <v>0</v>
      </c>
      <c r="F11" s="25">
        <v>20</v>
      </c>
    </row>
    <row r="12" spans="1:9" ht="15.75" x14ac:dyDescent="0.25">
      <c r="A12" s="5"/>
      <c r="B12" s="24" t="s">
        <v>28</v>
      </c>
      <c r="C12" s="25">
        <v>300</v>
      </c>
      <c r="D12" s="25"/>
      <c r="E12" s="27">
        <f t="shared" si="1"/>
        <v>0</v>
      </c>
      <c r="F12" s="25">
        <v>300</v>
      </c>
    </row>
    <row r="13" spans="1:9" ht="15.75" x14ac:dyDescent="0.25">
      <c r="A13" s="5"/>
      <c r="B13" s="24" t="s">
        <v>29</v>
      </c>
      <c r="C13" s="25">
        <v>60</v>
      </c>
      <c r="D13" s="25">
        <v>2.08</v>
      </c>
      <c r="E13" s="27">
        <f t="shared" si="1"/>
        <v>4.16</v>
      </c>
      <c r="F13" s="25">
        <v>60</v>
      </c>
    </row>
    <row r="14" spans="1:9" ht="15.75" x14ac:dyDescent="0.25">
      <c r="A14" s="5"/>
      <c r="B14" s="24" t="s">
        <v>30</v>
      </c>
      <c r="C14" s="25">
        <v>100</v>
      </c>
      <c r="D14" s="25">
        <v>52.89</v>
      </c>
      <c r="E14" s="27">
        <f t="shared" si="1"/>
        <v>105.78</v>
      </c>
      <c r="F14" s="25">
        <v>150</v>
      </c>
    </row>
    <row r="15" spans="1:9" ht="15.75" x14ac:dyDescent="0.25">
      <c r="A15" s="5"/>
      <c r="B15" s="24" t="s">
        <v>31</v>
      </c>
      <c r="C15" s="25">
        <v>10800</v>
      </c>
      <c r="D15" s="25">
        <v>5010.3999999999996</v>
      </c>
      <c r="E15" s="27">
        <f t="shared" si="1"/>
        <v>10020.799999999999</v>
      </c>
      <c r="F15" s="25">
        <v>10800</v>
      </c>
      <c r="G15" t="s">
        <v>123</v>
      </c>
    </row>
    <row r="16" spans="1:9" ht="16.5" thickBot="1" x14ac:dyDescent="0.3">
      <c r="A16" s="5"/>
      <c r="B16" s="24" t="s">
        <v>36</v>
      </c>
      <c r="C16" s="25">
        <v>1350</v>
      </c>
      <c r="D16" s="25">
        <v>726</v>
      </c>
      <c r="E16" s="27">
        <f t="shared" si="1"/>
        <v>1452</v>
      </c>
      <c r="F16" s="25">
        <v>1500</v>
      </c>
    </row>
    <row r="17" spans="1:6" ht="16.5" thickBot="1" x14ac:dyDescent="0.3">
      <c r="A17" s="4"/>
      <c r="B17" s="32" t="s">
        <v>41</v>
      </c>
      <c r="C17" s="33">
        <v>1300</v>
      </c>
      <c r="D17" s="33">
        <f t="shared" ref="D17:E17" si="2">SUM(D18:D19)</f>
        <v>100</v>
      </c>
      <c r="E17" s="33">
        <f t="shared" si="2"/>
        <v>200</v>
      </c>
      <c r="F17" s="34">
        <v>1300</v>
      </c>
    </row>
    <row r="18" spans="1:6" ht="15.75" x14ac:dyDescent="0.25">
      <c r="A18" s="5"/>
      <c r="B18" s="26" t="s">
        <v>42</v>
      </c>
      <c r="C18" s="27">
        <v>800</v>
      </c>
      <c r="D18" s="27">
        <v>100</v>
      </c>
      <c r="E18" s="27">
        <f t="shared" si="1"/>
        <v>200</v>
      </c>
      <c r="F18" s="27">
        <v>800</v>
      </c>
    </row>
    <row r="19" spans="1:6" ht="16.5" thickBot="1" x14ac:dyDescent="0.3">
      <c r="A19" s="5"/>
      <c r="B19" s="30" t="s">
        <v>43</v>
      </c>
      <c r="C19" s="31">
        <v>500</v>
      </c>
      <c r="D19" s="31"/>
      <c r="E19" s="27">
        <f t="shared" si="1"/>
        <v>0</v>
      </c>
      <c r="F19" s="31">
        <v>500</v>
      </c>
    </row>
    <row r="20" spans="1:6" ht="16.5" thickBot="1" x14ac:dyDescent="0.3">
      <c r="A20" s="5"/>
      <c r="B20" s="17" t="s">
        <v>50</v>
      </c>
      <c r="C20" s="18">
        <f>C6+C9+C17</f>
        <v>56095.829399451432</v>
      </c>
      <c r="D20" s="18">
        <f>D6+D9+D17</f>
        <v>30025.629999999997</v>
      </c>
      <c r="E20" s="18">
        <f>E6+E9+E17</f>
        <v>60051.259999999995</v>
      </c>
      <c r="F20" s="18">
        <f>F6+F9+F17</f>
        <v>60525.717524383988</v>
      </c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</sheetData>
  <autoFilter ref="B5:F20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9190-6D6A-4D52-ACB1-37DDF5AB57C2}">
  <sheetPr>
    <pageSetUpPr fitToPage="1"/>
  </sheetPr>
  <dimension ref="A2:I556"/>
  <sheetViews>
    <sheetView workbookViewId="0">
      <selection activeCell="G13" sqref="G13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9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0</v>
      </c>
    </row>
    <row r="6" spans="1:9" ht="16.5" thickBot="1" x14ac:dyDescent="0.3">
      <c r="A6" s="4"/>
      <c r="B6" s="28" t="s">
        <v>10</v>
      </c>
      <c r="C6" s="29">
        <f>SUM(C7:C8)</f>
        <v>1500</v>
      </c>
      <c r="D6" s="29">
        <f>SUM(D7:D8)</f>
        <v>750</v>
      </c>
      <c r="E6" s="29">
        <f>SUM(E7:E8)</f>
        <v>1500</v>
      </c>
      <c r="F6" s="29">
        <v>2000</v>
      </c>
    </row>
    <row r="7" spans="1:9" ht="15.75" x14ac:dyDescent="0.25">
      <c r="A7" s="5"/>
      <c r="B7" s="26" t="s">
        <v>11</v>
      </c>
      <c r="C7" s="27"/>
      <c r="D7" s="27"/>
      <c r="E7" s="27">
        <f t="shared" ref="E7:E8" si="0">D7*2</f>
        <v>0</v>
      </c>
      <c r="F7" s="27"/>
    </row>
    <row r="8" spans="1:9" ht="24" thickBot="1" x14ac:dyDescent="0.4">
      <c r="A8" s="5"/>
      <c r="B8" s="30" t="s">
        <v>12</v>
      </c>
      <c r="C8" s="31">
        <v>1500</v>
      </c>
      <c r="D8" s="31">
        <v>750</v>
      </c>
      <c r="E8" s="27">
        <f t="shared" si="0"/>
        <v>1500</v>
      </c>
      <c r="F8" s="31">
        <v>2000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SUM(C10:C12)</f>
        <v>38000</v>
      </c>
      <c r="D9" s="34">
        <f>SUM(D10:D12)</f>
        <v>6597.95</v>
      </c>
      <c r="E9" s="34">
        <f>SUM(E10:E12)</f>
        <v>13195.9</v>
      </c>
      <c r="F9" s="34">
        <v>38000</v>
      </c>
    </row>
    <row r="10" spans="1:9" ht="15.75" x14ac:dyDescent="0.25">
      <c r="A10" s="5"/>
      <c r="B10" s="24" t="s">
        <v>17</v>
      </c>
      <c r="C10" s="25">
        <v>20000</v>
      </c>
      <c r="D10" s="25">
        <v>5000</v>
      </c>
      <c r="E10" s="27">
        <f t="shared" ref="E10:E15" si="1">D10*2</f>
        <v>10000</v>
      </c>
      <c r="F10" s="25">
        <v>20000</v>
      </c>
    </row>
    <row r="11" spans="1:9" ht="15.75" x14ac:dyDescent="0.25">
      <c r="A11" s="5"/>
      <c r="B11" s="24" t="s">
        <v>28</v>
      </c>
      <c r="C11" s="25">
        <v>3000</v>
      </c>
      <c r="D11" s="25"/>
      <c r="E11" s="27">
        <f t="shared" si="1"/>
        <v>0</v>
      </c>
      <c r="F11" s="25">
        <v>3000</v>
      </c>
    </row>
    <row r="12" spans="1:9" ht="16.5" thickBot="1" x14ac:dyDescent="0.3">
      <c r="A12" s="5"/>
      <c r="B12" s="24" t="s">
        <v>31</v>
      </c>
      <c r="C12" s="25">
        <v>15000</v>
      </c>
      <c r="D12" s="25">
        <v>1597.95</v>
      </c>
      <c r="E12" s="27">
        <f t="shared" si="1"/>
        <v>3195.9</v>
      </c>
      <c r="F12" s="25">
        <v>15000</v>
      </c>
    </row>
    <row r="13" spans="1:9" ht="16.5" thickBot="1" x14ac:dyDescent="0.3">
      <c r="A13" s="4"/>
      <c r="B13" s="32" t="s">
        <v>41</v>
      </c>
      <c r="C13" s="33">
        <f t="shared" ref="C13:E13" si="2">SUM(C14:C15)</f>
        <v>8000</v>
      </c>
      <c r="D13" s="33">
        <f t="shared" si="2"/>
        <v>0</v>
      </c>
      <c r="E13" s="33">
        <f t="shared" si="2"/>
        <v>0</v>
      </c>
      <c r="F13" s="34">
        <v>8000</v>
      </c>
    </row>
    <row r="14" spans="1:9" ht="15.75" x14ac:dyDescent="0.25">
      <c r="A14" s="5"/>
      <c r="B14" s="26" t="s">
        <v>42</v>
      </c>
      <c r="C14" s="27">
        <v>5000</v>
      </c>
      <c r="D14" s="27"/>
      <c r="E14" s="27">
        <f t="shared" si="1"/>
        <v>0</v>
      </c>
      <c r="F14" s="27">
        <v>5000</v>
      </c>
    </row>
    <row r="15" spans="1:9" ht="16.5" thickBot="1" x14ac:dyDescent="0.3">
      <c r="A15" s="5"/>
      <c r="B15" s="30" t="s">
        <v>43</v>
      </c>
      <c r="C15" s="31">
        <v>3000</v>
      </c>
      <c r="D15" s="31"/>
      <c r="E15" s="27">
        <f t="shared" si="1"/>
        <v>0</v>
      </c>
      <c r="F15" s="31">
        <v>3000</v>
      </c>
    </row>
    <row r="16" spans="1:9" ht="16.5" thickBot="1" x14ac:dyDescent="0.3">
      <c r="A16" s="5"/>
      <c r="B16" s="17" t="s">
        <v>50</v>
      </c>
      <c r="C16" s="18">
        <f>C6+C9+C13</f>
        <v>47500</v>
      </c>
      <c r="D16" s="18">
        <f>D6+D9+D13</f>
        <v>7347.95</v>
      </c>
      <c r="E16" s="18">
        <f>E6+E9+E13</f>
        <v>14695.9</v>
      </c>
      <c r="F16" s="18">
        <f>F6+F9+F13</f>
        <v>48000</v>
      </c>
    </row>
    <row r="17" spans="1:6" ht="15.75" x14ac:dyDescent="0.25">
      <c r="A17" s="5"/>
      <c r="B17" s="5"/>
      <c r="C17" s="13"/>
      <c r="D17" s="13"/>
      <c r="E17" s="13"/>
      <c r="F17" s="14"/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</sheetData>
  <autoFilter ref="B5:F16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078B-4145-4F73-9ADC-27BEA149101B}">
  <sheetPr>
    <pageSetUpPr fitToPage="1"/>
  </sheetPr>
  <dimension ref="A2:V594"/>
  <sheetViews>
    <sheetView zoomScaleNormal="100" workbookViewId="0">
      <selection activeCell="K3" sqref="K3"/>
    </sheetView>
  </sheetViews>
  <sheetFormatPr defaultRowHeight="15" x14ac:dyDescent="0.25"/>
  <cols>
    <col min="1" max="1" width="2.42578125" customWidth="1"/>
    <col min="2" max="2" width="26.28515625" customWidth="1"/>
    <col min="3" max="3" width="12" style="3" bestFit="1" customWidth="1"/>
    <col min="4" max="4" width="10.5703125" customWidth="1"/>
    <col min="5" max="5" width="11.7109375" bestFit="1" customWidth="1"/>
    <col min="6" max="6" width="13.5703125" bestFit="1" customWidth="1"/>
    <col min="7" max="7" width="12.42578125" customWidth="1"/>
    <col min="8" max="10" width="11.7109375" bestFit="1" customWidth="1"/>
    <col min="11" max="11" width="10.140625" bestFit="1" customWidth="1"/>
    <col min="12" max="12" width="11.7109375" bestFit="1" customWidth="1"/>
    <col min="13" max="14" width="10.140625" bestFit="1" customWidth="1"/>
    <col min="15" max="15" width="11.7109375" bestFit="1" customWidth="1"/>
    <col min="16" max="16" width="10.140625" bestFit="1" customWidth="1"/>
    <col min="17" max="18" width="10.140625" customWidth="1"/>
    <col min="19" max="19" width="11.7109375" bestFit="1" customWidth="1"/>
    <col min="20" max="20" width="11.7109375" style="6" customWidth="1"/>
    <col min="21" max="21" width="0.42578125" customWidth="1"/>
    <col min="22" max="22" width="18.42578125" customWidth="1"/>
  </cols>
  <sheetData>
    <row r="2" spans="1:22" ht="26.25" x14ac:dyDescent="0.4">
      <c r="A2" s="1"/>
      <c r="B2" s="1"/>
      <c r="C2" s="133" t="s">
        <v>0</v>
      </c>
      <c r="D2" s="133"/>
      <c r="E2" s="133"/>
      <c r="F2" s="133"/>
      <c r="G2" s="1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34"/>
      <c r="U2" s="1"/>
      <c r="V2" s="1"/>
    </row>
    <row r="3" spans="1:22" ht="31.5" x14ac:dyDescent="0.5">
      <c r="A3" s="2"/>
      <c r="B3" s="2"/>
      <c r="C3" s="279" t="s">
        <v>1</v>
      </c>
      <c r="D3" s="279"/>
      <c r="E3" s="279"/>
      <c r="F3" s="279"/>
      <c r="G3" s="279"/>
      <c r="H3" s="279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  <c r="U3" s="135"/>
      <c r="V3" s="135"/>
    </row>
    <row r="4" spans="1:22" ht="15.75" customHeight="1" x14ac:dyDescent="0.5"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1:22" x14ac:dyDescent="0.25">
      <c r="A5" s="3"/>
      <c r="B5" s="137"/>
      <c r="C5" s="138" t="s">
        <v>2</v>
      </c>
      <c r="D5" s="138" t="s">
        <v>314</v>
      </c>
      <c r="E5" s="138" t="s">
        <v>3</v>
      </c>
      <c r="F5" s="138" t="s">
        <v>315</v>
      </c>
      <c r="G5" s="138" t="s">
        <v>4</v>
      </c>
      <c r="H5" s="138" t="s">
        <v>316</v>
      </c>
      <c r="I5" s="138" t="s">
        <v>5</v>
      </c>
      <c r="J5" s="138" t="s">
        <v>317</v>
      </c>
      <c r="K5" s="138" t="s">
        <v>6</v>
      </c>
      <c r="L5" s="138" t="s">
        <v>7</v>
      </c>
      <c r="M5" s="138" t="s">
        <v>8</v>
      </c>
      <c r="N5" s="138" t="s">
        <v>318</v>
      </c>
      <c r="O5" s="138" t="s">
        <v>319</v>
      </c>
      <c r="P5" s="138" t="s">
        <v>320</v>
      </c>
      <c r="Q5" s="138" t="s">
        <v>9</v>
      </c>
      <c r="R5" s="138" t="s">
        <v>321</v>
      </c>
      <c r="S5" s="138" t="s">
        <v>322</v>
      </c>
      <c r="T5" s="139" t="s">
        <v>323</v>
      </c>
      <c r="U5" s="140"/>
      <c r="V5" s="138" t="s">
        <v>324</v>
      </c>
    </row>
    <row r="6" spans="1:22" ht="15.75" x14ac:dyDescent="0.25">
      <c r="A6" s="4"/>
      <c r="B6" s="141" t="s">
        <v>10</v>
      </c>
      <c r="C6" s="142">
        <f>SUM(C7:C8)</f>
        <v>619439.37030278682</v>
      </c>
      <c r="D6" s="142">
        <f t="shared" ref="D6:V6" si="0">SUM(D7:D8)</f>
        <v>779702.21838068357</v>
      </c>
      <c r="E6" s="142">
        <f t="shared" si="0"/>
        <v>50067.360000000001</v>
      </c>
      <c r="F6" s="142">
        <f t="shared" si="0"/>
        <v>100575.10022364644</v>
      </c>
      <c r="G6" s="142">
        <f t="shared" si="0"/>
        <v>115561.12861926961</v>
      </c>
      <c r="H6" s="143">
        <f t="shared" si="0"/>
        <v>291465.61031076126</v>
      </c>
      <c r="I6" s="144">
        <v>0</v>
      </c>
      <c r="J6" s="144">
        <f t="shared" si="0"/>
        <v>613497.16912572435</v>
      </c>
      <c r="K6" s="144">
        <f t="shared" si="0"/>
        <v>211996.47374939575</v>
      </c>
      <c r="L6" s="144">
        <f t="shared" si="0"/>
        <v>217324.44211598774</v>
      </c>
      <c r="M6" s="144">
        <f t="shared" si="0"/>
        <v>210383.65344599291</v>
      </c>
      <c r="N6" s="144">
        <f t="shared" si="0"/>
        <v>367100.72270076111</v>
      </c>
      <c r="O6" s="144">
        <f t="shared" si="0"/>
        <v>74326.040584800678</v>
      </c>
      <c r="P6" s="144">
        <f t="shared" si="0"/>
        <v>118642.67673540002</v>
      </c>
      <c r="Q6" s="144">
        <f t="shared" si="0"/>
        <v>2000</v>
      </c>
      <c r="R6" s="144">
        <f t="shared" si="0"/>
        <v>45895.717524383988</v>
      </c>
      <c r="S6" s="144">
        <f t="shared" si="0"/>
        <v>176314.17341280001</v>
      </c>
      <c r="T6" s="143"/>
      <c r="U6" s="145"/>
      <c r="V6" s="144">
        <f t="shared" si="0"/>
        <v>3994291.8572323937</v>
      </c>
    </row>
    <row r="7" spans="1:22" ht="15.75" x14ac:dyDescent="0.25">
      <c r="A7" s="5"/>
      <c r="B7" s="146" t="s">
        <v>11</v>
      </c>
      <c r="C7" s="147">
        <v>474480.705972864</v>
      </c>
      <c r="D7" s="147">
        <v>580261.66166781867</v>
      </c>
      <c r="E7" s="147">
        <v>40800</v>
      </c>
      <c r="F7" s="147">
        <v>78939.430236233035</v>
      </c>
      <c r="G7" s="147">
        <v>90056.019086400003</v>
      </c>
      <c r="H7" s="148">
        <v>221746.51633308621</v>
      </c>
      <c r="I7" s="149">
        <v>0</v>
      </c>
      <c r="J7" s="149">
        <v>466288.43130167999</v>
      </c>
      <c r="K7" s="149">
        <v>173468.24053546903</v>
      </c>
      <c r="L7" s="149">
        <v>169647.17423124181</v>
      </c>
      <c r="M7" s="149">
        <v>165545.03228648283</v>
      </c>
      <c r="N7" s="149">
        <v>300017.07096470712</v>
      </c>
      <c r="O7" s="149">
        <v>57145.871404440011</v>
      </c>
      <c r="P7" s="149">
        <v>93339.099600000016</v>
      </c>
      <c r="Q7" s="149"/>
      <c r="R7" s="149">
        <v>37400.519519999994</v>
      </c>
      <c r="S7" s="149">
        <v>141822.59520000001</v>
      </c>
      <c r="T7" s="150">
        <v>0</v>
      </c>
      <c r="U7" s="151"/>
      <c r="V7" s="149">
        <f>SUM(C7:T7)</f>
        <v>3090958.3683404224</v>
      </c>
    </row>
    <row r="8" spans="1:22" ht="15.75" x14ac:dyDescent="0.25">
      <c r="A8" s="5"/>
      <c r="B8" s="152" t="s">
        <v>12</v>
      </c>
      <c r="C8" s="153">
        <v>144958.66432992285</v>
      </c>
      <c r="D8" s="153">
        <v>199440.55671286484</v>
      </c>
      <c r="E8" s="153">
        <v>9267.36</v>
      </c>
      <c r="F8" s="153">
        <v>21635.66998741341</v>
      </c>
      <c r="G8" s="153">
        <v>25505.109532869603</v>
      </c>
      <c r="H8" s="154">
        <v>69719.093977675046</v>
      </c>
      <c r="I8" s="155">
        <v>0</v>
      </c>
      <c r="J8" s="155">
        <v>147208.73782404439</v>
      </c>
      <c r="K8" s="155">
        <v>38528.233213926738</v>
      </c>
      <c r="L8" s="155">
        <v>47677.267884745939</v>
      </c>
      <c r="M8" s="155">
        <v>44838.621159510061</v>
      </c>
      <c r="N8" s="155">
        <v>67083.651736054002</v>
      </c>
      <c r="O8" s="155">
        <v>17180.169180360663</v>
      </c>
      <c r="P8" s="155">
        <v>25303.577135400003</v>
      </c>
      <c r="Q8" s="155">
        <v>2000</v>
      </c>
      <c r="R8" s="155">
        <v>8495.1980043839976</v>
      </c>
      <c r="S8" s="155">
        <v>34491.578212799999</v>
      </c>
      <c r="T8" s="156">
        <v>0</v>
      </c>
      <c r="U8" s="151"/>
      <c r="V8" s="155">
        <f>SUM(C8:T8)</f>
        <v>903333.48889197153</v>
      </c>
    </row>
    <row r="9" spans="1:22" ht="15.75" x14ac:dyDescent="0.25">
      <c r="A9" s="4"/>
      <c r="B9" s="141" t="s">
        <v>13</v>
      </c>
      <c r="C9" s="142">
        <f t="shared" ref="C9:R9" si="1">SUM(C10:C37)</f>
        <v>197380</v>
      </c>
      <c r="D9" s="142">
        <f t="shared" si="1"/>
        <v>23200</v>
      </c>
      <c r="E9" s="142">
        <f t="shared" si="1"/>
        <v>177700</v>
      </c>
      <c r="F9" s="142">
        <f t="shared" si="1"/>
        <v>1000</v>
      </c>
      <c r="G9" s="142">
        <f t="shared" si="1"/>
        <v>6900</v>
      </c>
      <c r="H9" s="143">
        <f t="shared" si="1"/>
        <v>130800</v>
      </c>
      <c r="I9" s="144">
        <f t="shared" si="1"/>
        <v>9000</v>
      </c>
      <c r="J9" s="144">
        <f t="shared" si="1"/>
        <v>488275</v>
      </c>
      <c r="K9" s="144">
        <f t="shared" si="1"/>
        <v>173450</v>
      </c>
      <c r="L9" s="144">
        <f t="shared" si="1"/>
        <v>37850</v>
      </c>
      <c r="M9" s="144">
        <f t="shared" si="1"/>
        <v>114676</v>
      </c>
      <c r="N9" s="144">
        <f t="shared" si="1"/>
        <v>203700</v>
      </c>
      <c r="O9" s="144">
        <f t="shared" si="1"/>
        <v>31525</v>
      </c>
      <c r="P9" s="144">
        <f t="shared" si="1"/>
        <v>14500</v>
      </c>
      <c r="Q9" s="144">
        <f t="shared" si="1"/>
        <v>38000</v>
      </c>
      <c r="R9" s="144">
        <f t="shared" si="1"/>
        <v>13330</v>
      </c>
      <c r="S9" s="144">
        <f>SUM(S10:S37)</f>
        <v>250</v>
      </c>
      <c r="T9" s="143">
        <f>SUM(T11:T37)</f>
        <v>0</v>
      </c>
      <c r="U9" s="145"/>
      <c r="V9" s="144">
        <f>SUM(V10:V37)</f>
        <v>1661536</v>
      </c>
    </row>
    <row r="10" spans="1:22" ht="15.75" x14ac:dyDescent="0.25">
      <c r="A10" s="4"/>
      <c r="B10" s="157" t="s">
        <v>14</v>
      </c>
      <c r="C10" s="158"/>
      <c r="D10" s="158"/>
      <c r="E10" s="158"/>
      <c r="F10" s="158"/>
      <c r="G10" s="158"/>
      <c r="H10" s="159"/>
      <c r="I10" s="160"/>
      <c r="J10" s="160"/>
      <c r="K10" s="160"/>
      <c r="L10" s="161">
        <v>500</v>
      </c>
      <c r="M10" s="160"/>
      <c r="N10" s="161">
        <v>5000</v>
      </c>
      <c r="O10" s="160"/>
      <c r="P10" s="160"/>
      <c r="Q10" s="160"/>
      <c r="R10" s="160"/>
      <c r="S10" s="160"/>
      <c r="T10" s="160"/>
      <c r="U10" s="151"/>
      <c r="V10" s="161">
        <f t="shared" ref="V10:V37" si="2">SUM(C10:S10)</f>
        <v>5500</v>
      </c>
    </row>
    <row r="11" spans="1:22" ht="15.75" x14ac:dyDescent="0.25">
      <c r="A11" s="5"/>
      <c r="B11" s="152" t="s">
        <v>15</v>
      </c>
      <c r="C11" s="162"/>
      <c r="D11" s="162"/>
      <c r="E11" s="162"/>
      <c r="F11" s="162"/>
      <c r="G11" s="162"/>
      <c r="H11" s="156"/>
      <c r="I11" s="163"/>
      <c r="J11" s="155">
        <v>17000</v>
      </c>
      <c r="K11" s="155"/>
      <c r="L11" s="164"/>
      <c r="M11" s="164"/>
      <c r="N11" s="164"/>
      <c r="O11" s="163"/>
      <c r="P11" s="163"/>
      <c r="Q11" s="163"/>
      <c r="R11" s="163"/>
      <c r="S11" s="163"/>
      <c r="T11" s="154"/>
      <c r="U11" s="151"/>
      <c r="V11" s="155">
        <f>SUM(C11:T11)</f>
        <v>17000</v>
      </c>
    </row>
    <row r="12" spans="1:22" ht="15.75" x14ac:dyDescent="0.25">
      <c r="A12" s="5"/>
      <c r="B12" s="157" t="s">
        <v>16</v>
      </c>
      <c r="C12" s="165">
        <v>3600</v>
      </c>
      <c r="D12" s="165">
        <v>3300</v>
      </c>
      <c r="E12" s="165">
        <v>600</v>
      </c>
      <c r="F12" s="158"/>
      <c r="G12" s="158"/>
      <c r="H12" s="159"/>
      <c r="I12" s="160"/>
      <c r="J12" s="160"/>
      <c r="K12" s="160"/>
      <c r="L12" s="160"/>
      <c r="M12" s="161"/>
      <c r="N12" s="166"/>
      <c r="O12" s="160"/>
      <c r="P12" s="160"/>
      <c r="Q12" s="160"/>
      <c r="R12" s="160"/>
      <c r="S12" s="160"/>
      <c r="T12" s="160"/>
      <c r="U12" s="167"/>
      <c r="V12" s="161">
        <f t="shared" si="2"/>
        <v>7500</v>
      </c>
    </row>
    <row r="13" spans="1:22" ht="15.75" x14ac:dyDescent="0.25">
      <c r="A13" s="5"/>
      <c r="B13" s="152" t="s">
        <v>17</v>
      </c>
      <c r="C13" s="162"/>
      <c r="D13" s="162"/>
      <c r="E13" s="162"/>
      <c r="F13" s="162"/>
      <c r="G13" s="162"/>
      <c r="H13" s="156"/>
      <c r="I13" s="163"/>
      <c r="J13" s="163"/>
      <c r="K13" s="163"/>
      <c r="L13" s="163"/>
      <c r="M13" s="163"/>
      <c r="N13" s="155">
        <v>3000</v>
      </c>
      <c r="O13" s="163"/>
      <c r="P13" s="163"/>
      <c r="Q13" s="155">
        <v>20000</v>
      </c>
      <c r="R13" s="163"/>
      <c r="S13" s="163"/>
      <c r="T13" s="163"/>
      <c r="U13" s="168"/>
      <c r="V13" s="155">
        <f t="shared" si="2"/>
        <v>23000</v>
      </c>
    </row>
    <row r="14" spans="1:22" ht="15.75" x14ac:dyDescent="0.25">
      <c r="A14" s="5"/>
      <c r="B14" s="157" t="s">
        <v>18</v>
      </c>
      <c r="C14" s="165">
        <v>600</v>
      </c>
      <c r="D14" s="165"/>
      <c r="E14" s="165"/>
      <c r="F14" s="165">
        <v>400</v>
      </c>
      <c r="G14" s="165">
        <v>600</v>
      </c>
      <c r="H14" s="159"/>
      <c r="I14" s="160"/>
      <c r="J14" s="161">
        <v>1000</v>
      </c>
      <c r="K14" s="161">
        <v>25000</v>
      </c>
      <c r="L14" s="161">
        <v>1000</v>
      </c>
      <c r="M14" s="161">
        <v>156</v>
      </c>
      <c r="N14" s="161">
        <v>20000</v>
      </c>
      <c r="O14" s="161">
        <v>15445</v>
      </c>
      <c r="P14" s="161">
        <v>1500</v>
      </c>
      <c r="Q14" s="160"/>
      <c r="R14" s="161">
        <v>500</v>
      </c>
      <c r="S14" s="161"/>
      <c r="T14" s="160"/>
      <c r="U14" s="151"/>
      <c r="V14" s="161">
        <f t="shared" si="2"/>
        <v>66201</v>
      </c>
    </row>
    <row r="15" spans="1:22" ht="15.75" x14ac:dyDescent="0.25">
      <c r="A15" s="5"/>
      <c r="B15" s="152" t="s">
        <v>19</v>
      </c>
      <c r="C15" s="162"/>
      <c r="D15" s="162"/>
      <c r="E15" s="162"/>
      <c r="F15" s="162"/>
      <c r="G15" s="162"/>
      <c r="H15" s="156"/>
      <c r="I15" s="163"/>
      <c r="J15" s="163"/>
      <c r="K15" s="163"/>
      <c r="L15" s="155">
        <v>2000</v>
      </c>
      <c r="M15" s="163"/>
      <c r="N15" s="155">
        <v>20000</v>
      </c>
      <c r="O15" s="163"/>
      <c r="P15" s="163"/>
      <c r="Q15" s="163"/>
      <c r="R15" s="163"/>
      <c r="S15" s="163"/>
      <c r="T15" s="163"/>
      <c r="U15" s="151"/>
      <c r="V15" s="155">
        <f t="shared" si="2"/>
        <v>22000</v>
      </c>
    </row>
    <row r="16" spans="1:22" ht="15.75" x14ac:dyDescent="0.25">
      <c r="A16" s="5"/>
      <c r="B16" s="157" t="s">
        <v>20</v>
      </c>
      <c r="C16" s="158"/>
      <c r="D16" s="158"/>
      <c r="E16" s="158"/>
      <c r="F16" s="158"/>
      <c r="G16" s="158"/>
      <c r="H16" s="159"/>
      <c r="I16" s="160"/>
      <c r="J16" s="160"/>
      <c r="K16" s="160"/>
      <c r="L16" s="160"/>
      <c r="M16" s="160"/>
      <c r="N16" s="160"/>
      <c r="O16" s="160"/>
      <c r="P16" s="161">
        <v>5000</v>
      </c>
      <c r="Q16" s="160"/>
      <c r="R16" s="160"/>
      <c r="S16" s="160"/>
      <c r="T16" s="160"/>
      <c r="U16" s="151"/>
      <c r="V16" s="161">
        <f t="shared" si="2"/>
        <v>5000</v>
      </c>
    </row>
    <row r="17" spans="1:22" ht="15.75" x14ac:dyDescent="0.25">
      <c r="A17" s="5"/>
      <c r="B17" s="152" t="s">
        <v>21</v>
      </c>
      <c r="C17" s="162"/>
      <c r="D17" s="162"/>
      <c r="E17" s="162"/>
      <c r="F17" s="162"/>
      <c r="G17" s="162"/>
      <c r="H17" s="154"/>
      <c r="I17" s="163"/>
      <c r="J17" s="155">
        <v>1400</v>
      </c>
      <c r="K17" s="163"/>
      <c r="L17" s="155">
        <v>6000</v>
      </c>
      <c r="M17" s="163"/>
      <c r="N17" s="163"/>
      <c r="O17" s="163"/>
      <c r="P17" s="163"/>
      <c r="Q17" s="163"/>
      <c r="R17" s="163"/>
      <c r="S17" s="163"/>
      <c r="T17" s="163"/>
      <c r="U17" s="151"/>
      <c r="V17" s="155">
        <f t="shared" si="2"/>
        <v>7400</v>
      </c>
    </row>
    <row r="18" spans="1:22" ht="15.75" x14ac:dyDescent="0.25">
      <c r="A18" s="5"/>
      <c r="B18" s="157" t="s">
        <v>22</v>
      </c>
      <c r="C18" s="165">
        <v>110000</v>
      </c>
      <c r="D18" s="158"/>
      <c r="E18" s="158"/>
      <c r="F18" s="158"/>
      <c r="G18" s="165">
        <v>1500</v>
      </c>
      <c r="H18" s="159"/>
      <c r="I18" s="160"/>
      <c r="J18" s="160"/>
      <c r="K18" s="160"/>
      <c r="L18" s="160"/>
      <c r="M18" s="160"/>
      <c r="N18" s="161">
        <v>2500</v>
      </c>
      <c r="O18" s="160"/>
      <c r="P18" s="160"/>
      <c r="Q18" s="160"/>
      <c r="R18" s="160"/>
      <c r="S18" s="160"/>
      <c r="T18" s="160"/>
      <c r="U18" s="151"/>
      <c r="V18" s="161">
        <f t="shared" si="2"/>
        <v>114000</v>
      </c>
    </row>
    <row r="19" spans="1:22" ht="15.75" x14ac:dyDescent="0.25">
      <c r="A19" s="5"/>
      <c r="B19" s="152" t="s">
        <v>23</v>
      </c>
      <c r="C19" s="153">
        <v>30000</v>
      </c>
      <c r="D19" s="162"/>
      <c r="E19" s="162"/>
      <c r="F19" s="162"/>
      <c r="G19" s="162"/>
      <c r="H19" s="156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51"/>
      <c r="V19" s="155">
        <f t="shared" si="2"/>
        <v>30000</v>
      </c>
    </row>
    <row r="20" spans="1:22" ht="15.75" x14ac:dyDescent="0.25">
      <c r="A20" s="5"/>
      <c r="B20" s="157" t="s">
        <v>24</v>
      </c>
      <c r="C20" s="158"/>
      <c r="D20" s="158"/>
      <c r="E20" s="158"/>
      <c r="F20" s="158"/>
      <c r="G20" s="158"/>
      <c r="H20" s="169">
        <v>2500</v>
      </c>
      <c r="I20" s="160">
        <v>2000</v>
      </c>
      <c r="J20" s="160"/>
      <c r="K20" s="160"/>
      <c r="L20" s="160"/>
      <c r="M20" s="160"/>
      <c r="N20" s="161">
        <v>2000</v>
      </c>
      <c r="O20" s="160"/>
      <c r="P20" s="160"/>
      <c r="Q20" s="160"/>
      <c r="R20" s="160"/>
      <c r="S20" s="160"/>
      <c r="T20" s="160"/>
      <c r="U20" s="151"/>
      <c r="V20" s="161">
        <f t="shared" si="2"/>
        <v>6500</v>
      </c>
    </row>
    <row r="21" spans="1:22" ht="15.75" x14ac:dyDescent="0.25">
      <c r="A21" s="5"/>
      <c r="B21" s="152" t="s">
        <v>25</v>
      </c>
      <c r="C21" s="162"/>
      <c r="D21" s="162"/>
      <c r="E21" s="162"/>
      <c r="F21" s="162"/>
      <c r="G21" s="162"/>
      <c r="H21" s="156"/>
      <c r="I21" s="163"/>
      <c r="J21" s="163"/>
      <c r="K21" s="163"/>
      <c r="L21" s="163"/>
      <c r="M21" s="155"/>
      <c r="N21" s="155">
        <v>10000</v>
      </c>
      <c r="O21" s="163"/>
      <c r="P21" s="163"/>
      <c r="Q21" s="163"/>
      <c r="R21" s="163"/>
      <c r="S21" s="163"/>
      <c r="T21" s="163"/>
      <c r="U21" s="151"/>
      <c r="V21" s="155">
        <f t="shared" si="2"/>
        <v>10000</v>
      </c>
    </row>
    <row r="22" spans="1:22" ht="15.75" x14ac:dyDescent="0.25">
      <c r="A22" s="5"/>
      <c r="B22" s="157" t="s">
        <v>26</v>
      </c>
      <c r="C22" s="165">
        <v>5150</v>
      </c>
      <c r="D22" s="165">
        <v>3000</v>
      </c>
      <c r="E22" s="158"/>
      <c r="F22" s="158"/>
      <c r="G22" s="158"/>
      <c r="H22" s="169">
        <v>50</v>
      </c>
      <c r="I22" s="160"/>
      <c r="J22" s="160"/>
      <c r="K22" s="160"/>
      <c r="L22" s="160"/>
      <c r="M22" s="161">
        <v>5</v>
      </c>
      <c r="N22" s="160"/>
      <c r="O22" s="160"/>
      <c r="P22" s="161"/>
      <c r="Q22" s="160"/>
      <c r="R22" s="161">
        <v>20</v>
      </c>
      <c r="S22" s="160"/>
      <c r="T22" s="160"/>
      <c r="U22" s="151"/>
      <c r="V22" s="161">
        <f t="shared" si="2"/>
        <v>8225</v>
      </c>
    </row>
    <row r="23" spans="1:22" ht="15.75" x14ac:dyDescent="0.25">
      <c r="A23" s="5"/>
      <c r="B23" s="152" t="s">
        <v>27</v>
      </c>
      <c r="C23" s="153"/>
      <c r="D23" s="153"/>
      <c r="E23" s="162"/>
      <c r="F23" s="162"/>
      <c r="G23" s="162"/>
      <c r="H23" s="156"/>
      <c r="I23" s="163"/>
      <c r="J23" s="155">
        <v>3500</v>
      </c>
      <c r="K23" s="163"/>
      <c r="L23" s="163"/>
      <c r="M23" s="155">
        <v>15</v>
      </c>
      <c r="N23" s="163"/>
      <c r="O23" s="163"/>
      <c r="P23" s="163"/>
      <c r="Q23" s="163"/>
      <c r="R23" s="163"/>
      <c r="S23" s="163"/>
      <c r="T23" s="163"/>
      <c r="U23" s="151"/>
      <c r="V23" s="155">
        <f t="shared" si="2"/>
        <v>3515</v>
      </c>
    </row>
    <row r="24" spans="1:22" ht="15.75" x14ac:dyDescent="0.25">
      <c r="A24" s="5"/>
      <c r="B24" s="157" t="s">
        <v>28</v>
      </c>
      <c r="C24" s="165">
        <v>6000</v>
      </c>
      <c r="D24" s="165">
        <v>2300</v>
      </c>
      <c r="E24" s="165">
        <v>600</v>
      </c>
      <c r="F24" s="165">
        <v>250</v>
      </c>
      <c r="G24" s="165"/>
      <c r="H24" s="169">
        <v>12000</v>
      </c>
      <c r="I24" s="160"/>
      <c r="J24" s="161">
        <v>1540</v>
      </c>
      <c r="K24" s="161">
        <v>30000</v>
      </c>
      <c r="L24" s="161">
        <v>500</v>
      </c>
      <c r="M24" s="161">
        <v>250</v>
      </c>
      <c r="N24" s="161">
        <v>1000</v>
      </c>
      <c r="O24" s="160"/>
      <c r="P24" s="160"/>
      <c r="Q24" s="161">
        <v>3000</v>
      </c>
      <c r="R24" s="161">
        <v>300</v>
      </c>
      <c r="S24" s="161">
        <v>200</v>
      </c>
      <c r="T24" s="160"/>
      <c r="U24" s="151"/>
      <c r="V24" s="161">
        <f t="shared" si="2"/>
        <v>57940</v>
      </c>
    </row>
    <row r="25" spans="1:22" ht="15.75" x14ac:dyDescent="0.25">
      <c r="A25" s="5"/>
      <c r="B25" s="152" t="s">
        <v>29</v>
      </c>
      <c r="C25" s="153">
        <v>18000</v>
      </c>
      <c r="D25" s="153">
        <v>12000</v>
      </c>
      <c r="E25" s="153">
        <v>1500</v>
      </c>
      <c r="F25" s="153">
        <v>100</v>
      </c>
      <c r="G25" s="153">
        <v>1500</v>
      </c>
      <c r="H25" s="154">
        <v>20000</v>
      </c>
      <c r="I25" s="155">
        <v>1000</v>
      </c>
      <c r="J25" s="155">
        <v>780</v>
      </c>
      <c r="K25" s="155">
        <v>2000</v>
      </c>
      <c r="L25" s="155">
        <v>500</v>
      </c>
      <c r="M25" s="155"/>
      <c r="N25" s="155">
        <v>500</v>
      </c>
      <c r="O25" s="163"/>
      <c r="P25" s="155"/>
      <c r="Q25" s="163"/>
      <c r="R25" s="155">
        <v>60</v>
      </c>
      <c r="S25" s="155"/>
      <c r="T25" s="163"/>
      <c r="U25" s="151"/>
      <c r="V25" s="155">
        <f t="shared" si="2"/>
        <v>57940</v>
      </c>
    </row>
    <row r="26" spans="1:22" ht="15.75" x14ac:dyDescent="0.25">
      <c r="A26" s="5"/>
      <c r="B26" s="157" t="s">
        <v>30</v>
      </c>
      <c r="C26" s="165">
        <v>1300</v>
      </c>
      <c r="D26" s="165">
        <v>1500</v>
      </c>
      <c r="E26" s="165"/>
      <c r="F26" s="165">
        <v>250</v>
      </c>
      <c r="G26" s="165">
        <v>3000</v>
      </c>
      <c r="H26" s="169">
        <v>50</v>
      </c>
      <c r="I26" s="160"/>
      <c r="J26" s="161">
        <v>10000</v>
      </c>
      <c r="K26" s="161">
        <v>250</v>
      </c>
      <c r="L26" s="161">
        <v>1200</v>
      </c>
      <c r="M26" s="161">
        <v>4000</v>
      </c>
      <c r="N26" s="161">
        <v>1500</v>
      </c>
      <c r="O26" s="161">
        <v>80</v>
      </c>
      <c r="P26" s="161">
        <v>2000</v>
      </c>
      <c r="Q26" s="160"/>
      <c r="R26" s="161">
        <v>150</v>
      </c>
      <c r="S26" s="161">
        <v>50</v>
      </c>
      <c r="T26" s="160"/>
      <c r="U26" s="151"/>
      <c r="V26" s="161">
        <f t="shared" si="2"/>
        <v>25330</v>
      </c>
    </row>
    <row r="27" spans="1:22" ht="15.75" x14ac:dyDescent="0.25">
      <c r="A27" s="5"/>
      <c r="B27" s="152" t="s">
        <v>31</v>
      </c>
      <c r="C27" s="153"/>
      <c r="D27" s="153"/>
      <c r="E27" s="153"/>
      <c r="F27" s="153"/>
      <c r="G27" s="153"/>
      <c r="H27" s="154"/>
      <c r="I27" s="163"/>
      <c r="J27" s="155">
        <v>1080</v>
      </c>
      <c r="K27" s="155"/>
      <c r="L27" s="163"/>
      <c r="M27" s="163"/>
      <c r="N27" s="155">
        <v>500</v>
      </c>
      <c r="O27" s="163"/>
      <c r="P27" s="163"/>
      <c r="Q27" s="155">
        <v>15000</v>
      </c>
      <c r="R27" s="155">
        <v>10800</v>
      </c>
      <c r="S27" s="163"/>
      <c r="T27" s="163"/>
      <c r="U27" s="151"/>
      <c r="V27" s="155">
        <f t="shared" si="2"/>
        <v>27380</v>
      </c>
    </row>
    <row r="28" spans="1:22" ht="15.75" x14ac:dyDescent="0.25">
      <c r="A28" s="5"/>
      <c r="B28" s="157" t="s">
        <v>32</v>
      </c>
      <c r="C28" s="165"/>
      <c r="D28" s="165"/>
      <c r="E28" s="165"/>
      <c r="F28" s="165"/>
      <c r="G28" s="165"/>
      <c r="H28" s="159"/>
      <c r="I28" s="160"/>
      <c r="J28" s="160"/>
      <c r="K28" s="161"/>
      <c r="L28" s="161"/>
      <c r="M28" s="161">
        <v>70000</v>
      </c>
      <c r="N28" s="160"/>
      <c r="O28" s="160"/>
      <c r="P28" s="160"/>
      <c r="Q28" s="160"/>
      <c r="R28" s="160"/>
      <c r="S28" s="160"/>
      <c r="T28" s="160"/>
      <c r="U28" s="151"/>
      <c r="V28" s="161">
        <f t="shared" si="2"/>
        <v>70000</v>
      </c>
    </row>
    <row r="29" spans="1:22" ht="15.75" x14ac:dyDescent="0.25">
      <c r="A29" s="5"/>
      <c r="B29" s="152" t="s">
        <v>33</v>
      </c>
      <c r="C29" s="153">
        <v>100</v>
      </c>
      <c r="D29" s="153">
        <v>100</v>
      </c>
      <c r="E29" s="153"/>
      <c r="F29" s="153"/>
      <c r="G29" s="153"/>
      <c r="H29" s="154">
        <v>200</v>
      </c>
      <c r="I29" s="163"/>
      <c r="J29" s="155">
        <v>8000</v>
      </c>
      <c r="K29" s="155">
        <v>200</v>
      </c>
      <c r="L29" s="163">
        <v>150</v>
      </c>
      <c r="M29" s="163"/>
      <c r="N29" s="155"/>
      <c r="O29" s="155"/>
      <c r="P29" s="163"/>
      <c r="Q29" s="163"/>
      <c r="R29" s="163"/>
      <c r="S29" s="163"/>
      <c r="T29" s="163"/>
      <c r="U29" s="151"/>
      <c r="V29" s="155">
        <f t="shared" si="2"/>
        <v>8750</v>
      </c>
    </row>
    <row r="30" spans="1:22" ht="15.75" x14ac:dyDescent="0.25">
      <c r="A30" s="5"/>
      <c r="B30" s="157" t="s">
        <v>34</v>
      </c>
      <c r="C30" s="165">
        <v>20000</v>
      </c>
      <c r="D30" s="165"/>
      <c r="E30" s="165"/>
      <c r="F30" s="165"/>
      <c r="G30" s="165"/>
      <c r="H30" s="159"/>
      <c r="I30" s="160"/>
      <c r="J30" s="161"/>
      <c r="K30" s="161"/>
      <c r="L30" s="161"/>
      <c r="M30" s="161">
        <v>40000</v>
      </c>
      <c r="N30" s="161">
        <v>35000</v>
      </c>
      <c r="O30" s="160"/>
      <c r="P30" s="160"/>
      <c r="Q30" s="160"/>
      <c r="R30" s="160"/>
      <c r="S30" s="160"/>
      <c r="T30" s="160"/>
      <c r="U30" s="151"/>
      <c r="V30" s="161">
        <f t="shared" si="2"/>
        <v>95000</v>
      </c>
    </row>
    <row r="31" spans="1:22" ht="15.75" x14ac:dyDescent="0.25">
      <c r="A31" s="5"/>
      <c r="B31" s="152" t="s">
        <v>35</v>
      </c>
      <c r="C31" s="153"/>
      <c r="D31" s="153"/>
      <c r="E31" s="153"/>
      <c r="F31" s="153"/>
      <c r="G31" s="153"/>
      <c r="H31" s="156"/>
      <c r="I31" s="163"/>
      <c r="J31" s="163"/>
      <c r="K31" s="163"/>
      <c r="L31" s="163"/>
      <c r="M31" s="155"/>
      <c r="N31" s="155">
        <v>1500</v>
      </c>
      <c r="O31" s="163"/>
      <c r="P31" s="163"/>
      <c r="Q31" s="163"/>
      <c r="R31" s="163"/>
      <c r="S31" s="163"/>
      <c r="T31" s="163"/>
      <c r="U31" s="151"/>
      <c r="V31" s="155">
        <f t="shared" si="2"/>
        <v>1500</v>
      </c>
    </row>
    <row r="32" spans="1:22" ht="15.75" x14ac:dyDescent="0.25">
      <c r="A32" s="5"/>
      <c r="B32" s="157" t="s">
        <v>36</v>
      </c>
      <c r="C32" s="165">
        <v>1130</v>
      </c>
      <c r="D32" s="165"/>
      <c r="E32" s="165"/>
      <c r="F32" s="165"/>
      <c r="G32" s="165"/>
      <c r="H32" s="169">
        <v>41000</v>
      </c>
      <c r="I32" s="161">
        <v>1000</v>
      </c>
      <c r="J32" s="161">
        <v>5500</v>
      </c>
      <c r="K32" s="161">
        <v>28000</v>
      </c>
      <c r="L32" s="160"/>
      <c r="M32" s="161">
        <v>250</v>
      </c>
      <c r="N32" s="161">
        <v>300</v>
      </c>
      <c r="O32" s="160"/>
      <c r="P32" s="160"/>
      <c r="Q32" s="160"/>
      <c r="R32" s="161">
        <v>1500</v>
      </c>
      <c r="S32" s="160"/>
      <c r="T32" s="160"/>
      <c r="U32" s="151"/>
      <c r="V32" s="161">
        <f t="shared" si="2"/>
        <v>78680</v>
      </c>
    </row>
    <row r="33" spans="1:22" ht="15.75" x14ac:dyDescent="0.25">
      <c r="A33" s="5"/>
      <c r="B33" s="152" t="s">
        <v>37</v>
      </c>
      <c r="C33" s="153">
        <v>1000</v>
      </c>
      <c r="D33" s="153"/>
      <c r="E33" s="153">
        <v>175000</v>
      </c>
      <c r="F33" s="153"/>
      <c r="G33" s="153">
        <v>0</v>
      </c>
      <c r="H33" s="154">
        <v>20000</v>
      </c>
      <c r="I33" s="155">
        <v>2500</v>
      </c>
      <c r="J33" s="170">
        <f>438475</f>
        <v>438475</v>
      </c>
      <c r="K33" s="155">
        <v>87000</v>
      </c>
      <c r="L33" s="170">
        <v>26000</v>
      </c>
      <c r="M33" s="155"/>
      <c r="N33" s="170">
        <v>70000</v>
      </c>
      <c r="O33" s="155">
        <v>16000</v>
      </c>
      <c r="P33" s="155">
        <v>6000</v>
      </c>
      <c r="Q33" s="163"/>
      <c r="R33" s="163"/>
      <c r="S33" s="163"/>
      <c r="T33" s="163"/>
      <c r="U33" s="151"/>
      <c r="V33" s="155">
        <f t="shared" si="2"/>
        <v>841975</v>
      </c>
    </row>
    <row r="34" spans="1:22" ht="15.75" x14ac:dyDescent="0.25">
      <c r="A34" s="5"/>
      <c r="B34" s="157" t="s">
        <v>38</v>
      </c>
      <c r="C34" s="165"/>
      <c r="D34" s="165"/>
      <c r="E34" s="165"/>
      <c r="F34" s="165"/>
      <c r="G34" s="165">
        <v>300</v>
      </c>
      <c r="H34" s="159"/>
      <c r="I34" s="160"/>
      <c r="J34" s="160"/>
      <c r="K34" s="160"/>
      <c r="L34" s="160"/>
      <c r="M34" s="160"/>
      <c r="N34" s="161">
        <v>30000</v>
      </c>
      <c r="O34" s="160"/>
      <c r="P34" s="160"/>
      <c r="Q34" s="160"/>
      <c r="R34" s="160"/>
      <c r="S34" s="160"/>
      <c r="T34" s="160"/>
      <c r="U34" s="151"/>
      <c r="V34" s="161">
        <f t="shared" si="2"/>
        <v>30300</v>
      </c>
    </row>
    <row r="35" spans="1:22" ht="15.75" x14ac:dyDescent="0.25">
      <c r="A35" s="5"/>
      <c r="B35" s="152" t="s">
        <v>39</v>
      </c>
      <c r="C35" s="153">
        <v>500</v>
      </c>
      <c r="D35" s="153">
        <v>1000</v>
      </c>
      <c r="E35" s="153"/>
      <c r="F35" s="153"/>
      <c r="G35" s="153"/>
      <c r="H35" s="154">
        <v>35000</v>
      </c>
      <c r="I35" s="155">
        <v>2500</v>
      </c>
      <c r="J35" s="163"/>
      <c r="K35" s="155">
        <v>1000</v>
      </c>
      <c r="L35" s="163"/>
      <c r="M35" s="163"/>
      <c r="N35" s="163"/>
      <c r="O35" s="163"/>
      <c r="P35" s="163"/>
      <c r="Q35" s="163"/>
      <c r="R35" s="163"/>
      <c r="S35" s="163"/>
      <c r="T35" s="163"/>
      <c r="U35" s="151"/>
      <c r="V35" s="155">
        <f t="shared" si="2"/>
        <v>40000</v>
      </c>
    </row>
    <row r="36" spans="1:22" ht="15.75" x14ac:dyDescent="0.25">
      <c r="A36" s="5"/>
      <c r="B36" s="157" t="s">
        <v>325</v>
      </c>
      <c r="C36" s="165"/>
      <c r="D36" s="165"/>
      <c r="E36" s="165"/>
      <c r="F36" s="165"/>
      <c r="G36" s="165"/>
      <c r="H36" s="159"/>
      <c r="I36" s="160"/>
      <c r="J36" s="160"/>
      <c r="K36" s="161"/>
      <c r="L36" s="160"/>
      <c r="M36" s="160"/>
      <c r="N36" s="160"/>
      <c r="O36" s="160"/>
      <c r="P36" s="160"/>
      <c r="Q36" s="160"/>
      <c r="R36" s="160"/>
      <c r="S36" s="160"/>
      <c r="T36" s="160"/>
      <c r="U36" s="151"/>
      <c r="V36" s="161">
        <f t="shared" si="2"/>
        <v>0</v>
      </c>
    </row>
    <row r="37" spans="1:22" ht="15.75" x14ac:dyDescent="0.25">
      <c r="A37" s="5"/>
      <c r="B37" s="152" t="s">
        <v>40</v>
      </c>
      <c r="C37" s="153"/>
      <c r="D37" s="153"/>
      <c r="E37" s="153"/>
      <c r="F37" s="153"/>
      <c r="G37" s="153"/>
      <c r="H37" s="154"/>
      <c r="I37" s="163"/>
      <c r="J37" s="163"/>
      <c r="K37" s="155">
        <v>0</v>
      </c>
      <c r="L37" s="163"/>
      <c r="M37" s="163"/>
      <c r="N37" s="155">
        <v>900</v>
      </c>
      <c r="O37" s="163"/>
      <c r="P37" s="163"/>
      <c r="Q37" s="163"/>
      <c r="R37" s="163"/>
      <c r="S37" s="155"/>
      <c r="T37" s="163"/>
      <c r="U37" s="151"/>
      <c r="V37" s="155">
        <f t="shared" si="2"/>
        <v>900</v>
      </c>
    </row>
    <row r="38" spans="1:22" ht="15.75" x14ac:dyDescent="0.25">
      <c r="A38" s="4"/>
      <c r="B38" s="141" t="s">
        <v>41</v>
      </c>
      <c r="C38" s="142">
        <f>SUM(C39:C40)</f>
        <v>1250</v>
      </c>
      <c r="D38" s="142">
        <f t="shared" ref="D38:V38" si="3">SUM(D39:D40)</f>
        <v>500</v>
      </c>
      <c r="E38" s="142">
        <f t="shared" si="3"/>
        <v>0</v>
      </c>
      <c r="F38" s="142">
        <f t="shared" si="3"/>
        <v>2000</v>
      </c>
      <c r="G38" s="142">
        <f t="shared" si="3"/>
        <v>2500</v>
      </c>
      <c r="H38" s="143">
        <f t="shared" si="3"/>
        <v>4000</v>
      </c>
      <c r="I38" s="144">
        <f t="shared" si="3"/>
        <v>0</v>
      </c>
      <c r="J38" s="144">
        <f t="shared" si="3"/>
        <v>16300</v>
      </c>
      <c r="K38" s="144">
        <f t="shared" si="3"/>
        <v>3500</v>
      </c>
      <c r="L38" s="144">
        <f t="shared" si="3"/>
        <v>7000</v>
      </c>
      <c r="M38" s="144">
        <f t="shared" si="3"/>
        <v>12000</v>
      </c>
      <c r="N38" s="144">
        <f t="shared" si="3"/>
        <v>16000</v>
      </c>
      <c r="O38" s="144">
        <f t="shared" si="3"/>
        <v>5000</v>
      </c>
      <c r="P38" s="144">
        <f t="shared" si="3"/>
        <v>1500</v>
      </c>
      <c r="Q38" s="144">
        <f t="shared" si="3"/>
        <v>8000</v>
      </c>
      <c r="R38" s="144">
        <f t="shared" si="3"/>
        <v>1300</v>
      </c>
      <c r="S38" s="144">
        <f t="shared" si="3"/>
        <v>7500</v>
      </c>
      <c r="T38" s="143">
        <v>0</v>
      </c>
      <c r="U38" s="145"/>
      <c r="V38" s="144">
        <f t="shared" si="3"/>
        <v>88350</v>
      </c>
    </row>
    <row r="39" spans="1:22" ht="15.75" x14ac:dyDescent="0.25">
      <c r="A39" s="5"/>
      <c r="B39" s="152" t="s">
        <v>42</v>
      </c>
      <c r="C39" s="153">
        <v>1000</v>
      </c>
      <c r="D39" s="153">
        <v>250</v>
      </c>
      <c r="E39" s="153"/>
      <c r="F39" s="153">
        <v>1000</v>
      </c>
      <c r="G39" s="153">
        <v>2000</v>
      </c>
      <c r="H39" s="154">
        <v>3500</v>
      </c>
      <c r="I39" s="155"/>
      <c r="J39" s="155">
        <v>8200</v>
      </c>
      <c r="K39" s="155">
        <v>2500</v>
      </c>
      <c r="L39" s="155">
        <v>4000</v>
      </c>
      <c r="M39" s="155">
        <v>10000</v>
      </c>
      <c r="N39" s="155">
        <v>10000</v>
      </c>
      <c r="O39" s="155">
        <v>5000</v>
      </c>
      <c r="P39" s="155">
        <v>1000</v>
      </c>
      <c r="Q39" s="155">
        <v>5000</v>
      </c>
      <c r="R39" s="155">
        <v>800</v>
      </c>
      <c r="S39" s="155">
        <v>2500</v>
      </c>
      <c r="T39" s="163"/>
      <c r="U39" s="151"/>
      <c r="V39" s="155">
        <f>SUM(C39:S39)</f>
        <v>56750</v>
      </c>
    </row>
    <row r="40" spans="1:22" ht="15.75" x14ac:dyDescent="0.25">
      <c r="A40" s="5"/>
      <c r="B40" s="157" t="s">
        <v>43</v>
      </c>
      <c r="C40" s="165">
        <v>250</v>
      </c>
      <c r="D40" s="165">
        <v>250</v>
      </c>
      <c r="E40" s="165"/>
      <c r="F40" s="165">
        <v>1000</v>
      </c>
      <c r="G40" s="165">
        <v>500</v>
      </c>
      <c r="H40" s="169">
        <v>500</v>
      </c>
      <c r="I40" s="161"/>
      <c r="J40" s="161">
        <v>8100</v>
      </c>
      <c r="K40" s="161">
        <v>1000</v>
      </c>
      <c r="L40" s="161">
        <v>3000</v>
      </c>
      <c r="M40" s="161">
        <v>2000</v>
      </c>
      <c r="N40" s="161">
        <v>6000</v>
      </c>
      <c r="O40" s="161"/>
      <c r="P40" s="161">
        <v>500</v>
      </c>
      <c r="Q40" s="161">
        <v>3000</v>
      </c>
      <c r="R40" s="161">
        <v>500</v>
      </c>
      <c r="S40" s="161">
        <v>5000</v>
      </c>
      <c r="T40" s="160"/>
      <c r="U40" s="151"/>
      <c r="V40" s="161">
        <f>SUM(C40:S40)</f>
        <v>31600</v>
      </c>
    </row>
    <row r="41" spans="1:22" ht="15.75" x14ac:dyDescent="0.25">
      <c r="A41" s="5"/>
      <c r="B41" s="141" t="s">
        <v>44</v>
      </c>
      <c r="C41" s="142">
        <f>SUM(C42:C47)</f>
        <v>0</v>
      </c>
      <c r="D41" s="142">
        <f t="shared" ref="D41:T41" si="4">SUM(D42:D47)</f>
        <v>0</v>
      </c>
      <c r="E41" s="142">
        <f t="shared" si="4"/>
        <v>0</v>
      </c>
      <c r="F41" s="142">
        <f t="shared" si="4"/>
        <v>0</v>
      </c>
      <c r="G41" s="142">
        <f t="shared" si="4"/>
        <v>0</v>
      </c>
      <c r="H41" s="143">
        <f t="shared" si="4"/>
        <v>200000</v>
      </c>
      <c r="I41" s="144">
        <f t="shared" si="4"/>
        <v>20500</v>
      </c>
      <c r="J41" s="144">
        <f t="shared" si="4"/>
        <v>0</v>
      </c>
      <c r="K41" s="144">
        <f t="shared" si="4"/>
        <v>0</v>
      </c>
      <c r="L41" s="144">
        <f t="shared" si="4"/>
        <v>0</v>
      </c>
      <c r="M41" s="144">
        <f t="shared" si="4"/>
        <v>0</v>
      </c>
      <c r="N41" s="144">
        <f t="shared" si="4"/>
        <v>0</v>
      </c>
      <c r="O41" s="144">
        <f t="shared" si="4"/>
        <v>0</v>
      </c>
      <c r="P41" s="144">
        <f t="shared" si="4"/>
        <v>0</v>
      </c>
      <c r="Q41" s="144">
        <f t="shared" si="4"/>
        <v>0</v>
      </c>
      <c r="R41" s="144">
        <f t="shared" si="4"/>
        <v>0</v>
      </c>
      <c r="S41" s="144">
        <f t="shared" si="4"/>
        <v>0</v>
      </c>
      <c r="T41" s="144">
        <f t="shared" si="4"/>
        <v>1525</v>
      </c>
      <c r="U41" s="151"/>
      <c r="V41" s="171">
        <f>SUM(V42:V47)</f>
        <v>222025</v>
      </c>
    </row>
    <row r="42" spans="1:22" ht="15.75" x14ac:dyDescent="0.25">
      <c r="A42" s="5"/>
      <c r="B42" s="152" t="s">
        <v>45</v>
      </c>
      <c r="C42" s="153">
        <v>0</v>
      </c>
      <c r="D42" s="153">
        <v>0</v>
      </c>
      <c r="E42" s="153">
        <v>0</v>
      </c>
      <c r="F42" s="153">
        <v>0</v>
      </c>
      <c r="G42" s="153">
        <v>0</v>
      </c>
      <c r="H42" s="154">
        <v>125000</v>
      </c>
      <c r="I42" s="155">
        <v>15000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163">
        <v>0</v>
      </c>
      <c r="T42" s="154">
        <v>400</v>
      </c>
      <c r="U42" s="151"/>
      <c r="V42" s="155">
        <f t="shared" ref="V42:V47" si="5">SUM(C42:T42)</f>
        <v>140400</v>
      </c>
    </row>
    <row r="43" spans="1:22" ht="15.75" x14ac:dyDescent="0.25">
      <c r="A43" s="5"/>
      <c r="B43" s="157" t="s">
        <v>24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9">
        <v>2000</v>
      </c>
      <c r="I43" s="161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0</v>
      </c>
      <c r="T43" s="160">
        <v>0</v>
      </c>
      <c r="U43" s="151"/>
      <c r="V43" s="161">
        <f t="shared" si="5"/>
        <v>2000</v>
      </c>
    </row>
    <row r="44" spans="1:22" ht="15.75" x14ac:dyDescent="0.25">
      <c r="A44" s="5"/>
      <c r="B44" s="152" t="s">
        <v>46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  <c r="H44" s="154">
        <v>3000</v>
      </c>
      <c r="I44" s="155">
        <v>500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3">
        <v>0</v>
      </c>
      <c r="T44" s="163">
        <v>0</v>
      </c>
      <c r="U44" s="151"/>
      <c r="V44" s="155">
        <f t="shared" si="5"/>
        <v>3500</v>
      </c>
    </row>
    <row r="45" spans="1:22" ht="15.75" x14ac:dyDescent="0.25">
      <c r="A45" s="5"/>
      <c r="B45" s="157" t="s">
        <v>47</v>
      </c>
      <c r="C45" s="165">
        <v>0</v>
      </c>
      <c r="D45" s="165">
        <v>0</v>
      </c>
      <c r="E45" s="165">
        <v>0</v>
      </c>
      <c r="F45" s="165">
        <v>0</v>
      </c>
      <c r="G45" s="165">
        <v>0</v>
      </c>
      <c r="H45" s="169">
        <v>50000</v>
      </c>
      <c r="I45" s="161">
        <v>2500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1">
        <v>500</v>
      </c>
      <c r="U45" s="151"/>
      <c r="V45" s="161">
        <f t="shared" si="5"/>
        <v>53000</v>
      </c>
    </row>
    <row r="46" spans="1:22" ht="15.75" x14ac:dyDescent="0.25">
      <c r="A46" s="5"/>
      <c r="B46" s="152" t="s">
        <v>48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  <c r="H46" s="154">
        <v>12000</v>
      </c>
      <c r="I46" s="155">
        <v>500</v>
      </c>
      <c r="J46" s="163">
        <v>0</v>
      </c>
      <c r="K46" s="163">
        <v>0</v>
      </c>
      <c r="L46" s="163">
        <v>0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3">
        <v>0</v>
      </c>
      <c r="S46" s="163">
        <v>0</v>
      </c>
      <c r="T46" s="163">
        <v>0</v>
      </c>
      <c r="U46" s="151"/>
      <c r="V46" s="155">
        <f t="shared" si="5"/>
        <v>12500</v>
      </c>
    </row>
    <row r="47" spans="1:22" ht="15.75" x14ac:dyDescent="0.25">
      <c r="A47" s="5"/>
      <c r="B47" s="157" t="s">
        <v>49</v>
      </c>
      <c r="C47" s="165">
        <v>0</v>
      </c>
      <c r="D47" s="165">
        <v>0</v>
      </c>
      <c r="E47" s="165">
        <v>0</v>
      </c>
      <c r="F47" s="165">
        <v>0</v>
      </c>
      <c r="G47" s="165">
        <v>0</v>
      </c>
      <c r="H47" s="169">
        <v>8000</v>
      </c>
      <c r="I47" s="161">
        <v>2000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9">
        <v>625</v>
      </c>
      <c r="U47" s="151"/>
      <c r="V47" s="161">
        <f t="shared" si="5"/>
        <v>10625</v>
      </c>
    </row>
    <row r="48" spans="1:22" ht="15.75" x14ac:dyDescent="0.25">
      <c r="A48" s="5"/>
      <c r="B48" s="172" t="s">
        <v>50</v>
      </c>
      <c r="C48" s="173">
        <f>C6+C9+C38</f>
        <v>818069.37030278682</v>
      </c>
      <c r="D48" s="173">
        <f>D6+D9+D38</f>
        <v>803402.21838068357</v>
      </c>
      <c r="E48" s="173">
        <f>E6+E9+E38</f>
        <v>227767.36</v>
      </c>
      <c r="F48" s="173">
        <f>F6+F9+F38</f>
        <v>103575.10022364644</v>
      </c>
      <c r="G48" s="173">
        <f>G6+G9+G38</f>
        <v>124961.12861926961</v>
      </c>
      <c r="H48" s="173">
        <f>H6+H9+H38+H41</f>
        <v>626265.61031076126</v>
      </c>
      <c r="I48" s="173">
        <f>I6+I9+I38+I41</f>
        <v>29500</v>
      </c>
      <c r="J48" s="173">
        <f t="shared" ref="J48:S48" si="6">J6+J9+J38</f>
        <v>1118072.1691257244</v>
      </c>
      <c r="K48" s="173">
        <f t="shared" si="6"/>
        <v>388946.47374939575</v>
      </c>
      <c r="L48" s="173">
        <f t="shared" si="6"/>
        <v>262174.44211598777</v>
      </c>
      <c r="M48" s="173">
        <f t="shared" si="6"/>
        <v>337059.65344599291</v>
      </c>
      <c r="N48" s="173">
        <f t="shared" si="6"/>
        <v>586800.72270076117</v>
      </c>
      <c r="O48" s="173">
        <f t="shared" si="6"/>
        <v>110851.04058480068</v>
      </c>
      <c r="P48" s="173">
        <f t="shared" si="6"/>
        <v>134642.67673540002</v>
      </c>
      <c r="Q48" s="173">
        <f t="shared" si="6"/>
        <v>48000</v>
      </c>
      <c r="R48" s="173">
        <f t="shared" si="6"/>
        <v>60525.717524383988</v>
      </c>
      <c r="S48" s="173">
        <f t="shared" si="6"/>
        <v>184064.17341280001</v>
      </c>
      <c r="T48" s="173">
        <f>T9+T41+T38</f>
        <v>1525</v>
      </c>
      <c r="U48" s="173"/>
      <c r="V48" s="173">
        <f>V6+V9+V38+V41</f>
        <v>5966202.8572323937</v>
      </c>
    </row>
    <row r="49" spans="1:22" ht="15.75" x14ac:dyDescent="0.25">
      <c r="A49" s="5"/>
      <c r="B49" s="174" t="s">
        <v>326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 t="s">
        <v>327</v>
      </c>
      <c r="U49" s="173"/>
      <c r="V49" s="175">
        <v>3075750.3415333335</v>
      </c>
    </row>
    <row r="50" spans="1:22" ht="15.75" x14ac:dyDescent="0.25">
      <c r="A50" s="5"/>
      <c r="B50" s="176" t="s">
        <v>328</v>
      </c>
      <c r="C50" s="177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9"/>
      <c r="V50" s="180">
        <v>293700</v>
      </c>
    </row>
    <row r="51" spans="1:22" ht="15.75" x14ac:dyDescent="0.25">
      <c r="A51" s="5"/>
      <c r="B51" s="181" t="s">
        <v>329</v>
      </c>
      <c r="C51" s="182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79"/>
      <c r="V51" s="184">
        <v>31000</v>
      </c>
    </row>
    <row r="52" spans="1:22" ht="15.75" x14ac:dyDescent="0.25">
      <c r="A52" s="5"/>
      <c r="B52" s="176" t="s">
        <v>330</v>
      </c>
      <c r="C52" s="177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9"/>
      <c r="V52" s="180">
        <v>600000</v>
      </c>
    </row>
    <row r="53" spans="1:22" ht="15.75" x14ac:dyDescent="0.25">
      <c r="A53" s="5"/>
      <c r="B53" s="185" t="s">
        <v>331</v>
      </c>
      <c r="C53" s="186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79"/>
      <c r="V53" s="184">
        <v>33000</v>
      </c>
    </row>
    <row r="54" spans="1:22" ht="15.75" x14ac:dyDescent="0.25">
      <c r="A54" s="5"/>
      <c r="B54" s="187"/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</row>
    <row r="55" spans="1:22" ht="15.75" x14ac:dyDescent="0.25">
      <c r="A55" s="5"/>
      <c r="B55" s="5"/>
      <c r="C55" s="190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2">
        <f>SUM(V48:V54)</f>
        <v>9999653.1987657268</v>
      </c>
    </row>
    <row r="56" spans="1:22" ht="15.75" x14ac:dyDescent="0.25">
      <c r="A56" s="5"/>
      <c r="B56" s="5"/>
      <c r="C56" s="190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</row>
    <row r="57" spans="1:22" ht="15.75" x14ac:dyDescent="0.25">
      <c r="A57" s="5"/>
      <c r="B57" s="5"/>
      <c r="C57" s="190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</row>
    <row r="58" spans="1:22" ht="15.75" x14ac:dyDescent="0.25">
      <c r="A58" s="5"/>
      <c r="B58" s="5"/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</row>
    <row r="59" spans="1:22" ht="15.75" x14ac:dyDescent="0.25">
      <c r="A59" s="5"/>
      <c r="B59" s="5"/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</row>
    <row r="60" spans="1:22" ht="15.75" x14ac:dyDescent="0.25">
      <c r="A60" s="5"/>
      <c r="B60" s="5"/>
      <c r="C60" s="190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</row>
    <row r="61" spans="1:22" ht="15.75" x14ac:dyDescent="0.25">
      <c r="A61" s="5"/>
      <c r="B61" s="5"/>
      <c r="C61" s="190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</row>
    <row r="62" spans="1:22" ht="15.75" x14ac:dyDescent="0.25">
      <c r="A62" s="5"/>
      <c r="B62" s="5"/>
      <c r="C62" s="190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</row>
    <row r="63" spans="1:22" ht="15.75" x14ac:dyDescent="0.25">
      <c r="A63" s="5"/>
      <c r="B63" s="5"/>
      <c r="C63" s="190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</row>
    <row r="64" spans="1:22" ht="15.75" x14ac:dyDescent="0.25">
      <c r="A64" s="5"/>
      <c r="B64" s="5"/>
      <c r="C64" s="190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</row>
    <row r="65" spans="1:22" ht="15.75" x14ac:dyDescent="0.25">
      <c r="A65" s="5"/>
      <c r="B65" s="5"/>
      <c r="C65" s="190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</row>
    <row r="66" spans="1:22" ht="15.75" x14ac:dyDescent="0.25">
      <c r="A66" s="5"/>
      <c r="B66" s="5"/>
      <c r="C66" s="190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</row>
    <row r="67" spans="1:22" ht="15.75" x14ac:dyDescent="0.25">
      <c r="A67" s="5"/>
      <c r="B67" s="5"/>
      <c r="C67" s="190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</row>
    <row r="68" spans="1:22" ht="15.75" x14ac:dyDescent="0.25">
      <c r="A68" s="5"/>
      <c r="B68" s="5"/>
      <c r="C68" s="190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</row>
    <row r="69" spans="1:22" ht="15.75" x14ac:dyDescent="0.25">
      <c r="A69" s="5"/>
      <c r="B69" s="5"/>
      <c r="C69" s="190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</row>
    <row r="70" spans="1:22" ht="15.75" x14ac:dyDescent="0.25">
      <c r="A70" s="5"/>
      <c r="B70" s="5"/>
      <c r="C70" s="190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</row>
    <row r="71" spans="1:22" ht="15.75" x14ac:dyDescent="0.25">
      <c r="A71" s="5"/>
      <c r="B71" s="5"/>
      <c r="C71" s="190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</row>
    <row r="72" spans="1:22" ht="15.75" x14ac:dyDescent="0.25">
      <c r="A72" s="5"/>
      <c r="B72" s="5"/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</row>
    <row r="73" spans="1:22" ht="15.75" x14ac:dyDescent="0.25">
      <c r="A73" s="5"/>
      <c r="B73" s="5"/>
      <c r="C73" s="190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</row>
    <row r="74" spans="1:22" ht="15.75" x14ac:dyDescent="0.25">
      <c r="A74" s="5"/>
      <c r="B74" s="5"/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</row>
    <row r="75" spans="1:22" ht="15.75" x14ac:dyDescent="0.25">
      <c r="A75" s="5"/>
      <c r="B75" s="5"/>
      <c r="C75" s="190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</row>
    <row r="76" spans="1:22" ht="15.75" x14ac:dyDescent="0.25">
      <c r="A76" s="5"/>
      <c r="B76" s="5"/>
      <c r="C76" s="190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</row>
    <row r="77" spans="1:22" ht="15.75" x14ac:dyDescent="0.25">
      <c r="A77" s="5"/>
      <c r="B77" s="5"/>
      <c r="C77" s="190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</row>
    <row r="78" spans="1:22" ht="15.75" x14ac:dyDescent="0.25">
      <c r="A78" s="5"/>
      <c r="B78" s="5"/>
      <c r="C78" s="190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</row>
    <row r="79" spans="1:22" ht="15.75" x14ac:dyDescent="0.25">
      <c r="A79" s="5"/>
      <c r="B79" s="5"/>
      <c r="C79" s="190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</row>
    <row r="80" spans="1:22" ht="15.75" x14ac:dyDescent="0.25">
      <c r="A80" s="5"/>
      <c r="B80" s="5"/>
      <c r="C80" s="190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</row>
    <row r="81" spans="1:22" ht="15.75" x14ac:dyDescent="0.25">
      <c r="A81" s="5"/>
      <c r="B81" s="5"/>
      <c r="C81" s="190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</row>
    <row r="82" spans="1:22" ht="15.75" x14ac:dyDescent="0.25">
      <c r="A82" s="5"/>
      <c r="B82" s="5"/>
      <c r="C82" s="190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</row>
    <row r="83" spans="1:22" ht="15.75" x14ac:dyDescent="0.25">
      <c r="A83" s="5"/>
      <c r="B83" s="5"/>
      <c r="C83" s="190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</row>
    <row r="84" spans="1:22" ht="15.75" x14ac:dyDescent="0.25">
      <c r="A84" s="5"/>
      <c r="B84" s="5"/>
      <c r="C84" s="190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</row>
    <row r="85" spans="1:22" ht="15.75" x14ac:dyDescent="0.25">
      <c r="A85" s="5"/>
      <c r="B85" s="5"/>
      <c r="C85" s="190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</row>
    <row r="86" spans="1:22" ht="15.75" x14ac:dyDescent="0.25">
      <c r="A86" s="5"/>
      <c r="B86" s="5"/>
      <c r="C86" s="190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</row>
    <row r="87" spans="1:22" ht="15.75" x14ac:dyDescent="0.25">
      <c r="A87" s="5"/>
      <c r="B87" s="5"/>
      <c r="C87" s="190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</row>
    <row r="88" spans="1:22" ht="15.75" x14ac:dyDescent="0.25">
      <c r="A88" s="5"/>
      <c r="B88" s="5"/>
      <c r="C88" s="190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</row>
    <row r="89" spans="1:22" ht="15.75" x14ac:dyDescent="0.25">
      <c r="A89" s="5"/>
      <c r="B89" s="5"/>
      <c r="C89" s="190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</row>
    <row r="90" spans="1:22" ht="15.75" x14ac:dyDescent="0.25">
      <c r="A90" s="5"/>
      <c r="B90" s="5"/>
      <c r="C90" s="190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</row>
    <row r="91" spans="1:22" ht="15.75" x14ac:dyDescent="0.25">
      <c r="A91" s="5"/>
      <c r="B91" s="5"/>
      <c r="C91" s="190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</row>
    <row r="92" spans="1:22" ht="15.75" x14ac:dyDescent="0.25">
      <c r="A92" s="5"/>
      <c r="B92" s="5"/>
      <c r="C92" s="190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</row>
    <row r="93" spans="1:22" ht="15.75" x14ac:dyDescent="0.25">
      <c r="A93" s="5"/>
      <c r="B93" s="5"/>
      <c r="C93" s="190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</row>
    <row r="94" spans="1:22" ht="15.75" x14ac:dyDescent="0.25">
      <c r="A94" s="5"/>
      <c r="B94" s="5"/>
      <c r="C94" s="190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</row>
    <row r="95" spans="1:22" ht="15.75" x14ac:dyDescent="0.25">
      <c r="A95" s="5"/>
      <c r="B95" s="5"/>
      <c r="C95" s="190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</row>
    <row r="96" spans="1:22" ht="15.75" x14ac:dyDescent="0.25">
      <c r="A96" s="5"/>
      <c r="B96" s="5"/>
      <c r="C96" s="190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</row>
    <row r="97" spans="1:22" ht="15.75" x14ac:dyDescent="0.25">
      <c r="A97" s="5"/>
      <c r="B97" s="5"/>
      <c r="C97" s="190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</row>
    <row r="98" spans="1:22" ht="15.75" x14ac:dyDescent="0.25">
      <c r="A98" s="5"/>
      <c r="B98" s="5"/>
      <c r="C98" s="190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</row>
    <row r="99" spans="1:22" ht="15.75" x14ac:dyDescent="0.25">
      <c r="A99" s="5"/>
      <c r="B99" s="5"/>
      <c r="C99" s="190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</row>
    <row r="100" spans="1:22" ht="15.75" x14ac:dyDescent="0.25">
      <c r="A100" s="5"/>
      <c r="B100" s="5"/>
      <c r="C100" s="190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</row>
    <row r="101" spans="1:22" ht="15.75" x14ac:dyDescent="0.25">
      <c r="A101" s="5"/>
      <c r="B101" s="5"/>
      <c r="C101" s="190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</row>
    <row r="102" spans="1:22" ht="15.75" x14ac:dyDescent="0.25">
      <c r="A102" s="5"/>
      <c r="B102" s="5"/>
      <c r="C102" s="190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</row>
    <row r="103" spans="1:22" ht="15.75" x14ac:dyDescent="0.25">
      <c r="A103" s="5"/>
      <c r="B103" s="5"/>
      <c r="C103" s="190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</row>
    <row r="104" spans="1:22" ht="15.75" x14ac:dyDescent="0.25">
      <c r="A104" s="5"/>
      <c r="B104" s="5"/>
      <c r="C104" s="190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</row>
    <row r="105" spans="1:22" ht="15.75" x14ac:dyDescent="0.25">
      <c r="A105" s="5"/>
      <c r="B105" s="5"/>
      <c r="C105" s="190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</row>
    <row r="106" spans="1:22" ht="15.75" x14ac:dyDescent="0.25">
      <c r="A106" s="5"/>
      <c r="B106" s="5"/>
      <c r="C106" s="190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</row>
    <row r="107" spans="1:22" ht="15.75" x14ac:dyDescent="0.25">
      <c r="A107" s="5"/>
      <c r="B107" s="5"/>
      <c r="C107" s="190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</row>
    <row r="108" spans="1:22" ht="15.75" x14ac:dyDescent="0.25">
      <c r="A108" s="5"/>
      <c r="B108" s="5"/>
      <c r="C108" s="190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</row>
    <row r="109" spans="1:22" ht="15.75" x14ac:dyDescent="0.25">
      <c r="A109" s="5"/>
      <c r="B109" s="5"/>
      <c r="C109" s="190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</row>
    <row r="110" spans="1:22" ht="15.75" x14ac:dyDescent="0.25">
      <c r="A110" s="5"/>
      <c r="B110" s="5"/>
      <c r="C110" s="190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</row>
    <row r="111" spans="1:22" ht="15.75" x14ac:dyDescent="0.25">
      <c r="A111" s="5"/>
      <c r="B111" s="5"/>
      <c r="C111" s="190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</row>
    <row r="112" spans="1:22" ht="15.75" x14ac:dyDescent="0.25">
      <c r="A112" s="5"/>
      <c r="B112" s="5"/>
      <c r="C112" s="190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</row>
    <row r="113" spans="1:22" ht="15.75" x14ac:dyDescent="0.25">
      <c r="A113" s="5"/>
      <c r="B113" s="5"/>
      <c r="C113" s="190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</row>
    <row r="114" spans="1:22" ht="15.75" x14ac:dyDescent="0.25">
      <c r="A114" s="5"/>
      <c r="B114" s="5"/>
      <c r="C114" s="190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</row>
    <row r="115" spans="1:22" ht="15.75" x14ac:dyDescent="0.25">
      <c r="A115" s="5"/>
      <c r="B115" s="5"/>
      <c r="C115" s="190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</row>
    <row r="116" spans="1:22" ht="15.75" x14ac:dyDescent="0.25">
      <c r="A116" s="5"/>
      <c r="B116" s="5"/>
      <c r="C116" s="190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</row>
    <row r="117" spans="1:22" ht="15.75" x14ac:dyDescent="0.25">
      <c r="A117" s="5"/>
      <c r="B117" s="5"/>
      <c r="C117" s="190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</row>
    <row r="118" spans="1:22" ht="15.75" x14ac:dyDescent="0.25">
      <c r="A118" s="5"/>
      <c r="B118" s="5"/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</row>
    <row r="119" spans="1:22" ht="15.75" x14ac:dyDescent="0.25">
      <c r="A119" s="5"/>
      <c r="B119" s="5"/>
      <c r="C119" s="190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</row>
    <row r="120" spans="1:22" ht="15.75" x14ac:dyDescent="0.25">
      <c r="A120" s="5"/>
      <c r="B120" s="5"/>
      <c r="C120" s="190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</row>
    <row r="121" spans="1:22" ht="15.75" x14ac:dyDescent="0.25">
      <c r="A121" s="5"/>
      <c r="B121" s="5"/>
      <c r="C121" s="190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</row>
    <row r="122" spans="1:22" ht="15.75" x14ac:dyDescent="0.25">
      <c r="A122" s="5"/>
      <c r="B122" s="5"/>
      <c r="C122" s="190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</row>
    <row r="123" spans="1:22" ht="15.75" x14ac:dyDescent="0.25">
      <c r="A123" s="5"/>
      <c r="B123" s="5"/>
      <c r="C123" s="190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</row>
    <row r="124" spans="1:22" ht="15.75" x14ac:dyDescent="0.25">
      <c r="A124" s="5"/>
      <c r="B124" s="5"/>
      <c r="C124" s="190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</row>
    <row r="125" spans="1:22" ht="15.75" x14ac:dyDescent="0.25">
      <c r="A125" s="5"/>
      <c r="B125" s="5"/>
      <c r="C125" s="190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</row>
    <row r="126" spans="1:22" ht="15.75" x14ac:dyDescent="0.25">
      <c r="A126" s="5"/>
      <c r="B126" s="5"/>
      <c r="C126" s="190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</row>
    <row r="127" spans="1:22" ht="15.75" x14ac:dyDescent="0.25">
      <c r="A127" s="5"/>
      <c r="B127" s="5"/>
      <c r="C127" s="190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</row>
    <row r="128" spans="1:22" ht="15.75" x14ac:dyDescent="0.25">
      <c r="A128" s="5"/>
      <c r="B128" s="5"/>
      <c r="C128" s="190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</row>
    <row r="129" spans="1:22" ht="15.75" x14ac:dyDescent="0.25">
      <c r="A129" s="5"/>
      <c r="B129" s="5"/>
      <c r="C129" s="190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</row>
    <row r="130" spans="1:22" ht="15.75" x14ac:dyDescent="0.25">
      <c r="A130" s="5"/>
      <c r="B130" s="5"/>
      <c r="C130" s="190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</row>
    <row r="131" spans="1:22" ht="15.75" x14ac:dyDescent="0.25">
      <c r="A131" s="5"/>
      <c r="B131" s="5"/>
      <c r="C131" s="190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</row>
    <row r="132" spans="1:22" ht="15.75" x14ac:dyDescent="0.25">
      <c r="A132" s="5"/>
      <c r="B132" s="5"/>
      <c r="C132" s="190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</row>
    <row r="133" spans="1:22" ht="15.75" x14ac:dyDescent="0.25">
      <c r="A133" s="5"/>
      <c r="B133" s="5"/>
      <c r="C133" s="190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</row>
    <row r="134" spans="1:22" ht="15.75" x14ac:dyDescent="0.25">
      <c r="A134" s="5"/>
      <c r="B134" s="5"/>
      <c r="C134" s="190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</row>
    <row r="135" spans="1:22" ht="15.75" x14ac:dyDescent="0.25">
      <c r="A135" s="5"/>
      <c r="B135" s="5"/>
      <c r="C135" s="190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</row>
    <row r="136" spans="1:22" ht="15.75" x14ac:dyDescent="0.25">
      <c r="A136" s="5"/>
      <c r="B136" s="5"/>
      <c r="C136" s="190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</row>
    <row r="137" spans="1:22" ht="15.75" x14ac:dyDescent="0.25">
      <c r="A137" s="5"/>
      <c r="B137" s="5"/>
      <c r="C137" s="190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</row>
    <row r="138" spans="1:22" ht="15.75" x14ac:dyDescent="0.25">
      <c r="A138" s="5"/>
      <c r="B138" s="5"/>
      <c r="C138" s="190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</row>
    <row r="139" spans="1:22" ht="15.75" x14ac:dyDescent="0.25">
      <c r="A139" s="5"/>
      <c r="B139" s="5"/>
      <c r="C139" s="190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</row>
    <row r="140" spans="1:22" ht="15.75" x14ac:dyDescent="0.25">
      <c r="A140" s="5"/>
      <c r="B140" s="5"/>
      <c r="C140" s="190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</row>
    <row r="141" spans="1:22" ht="15.75" x14ac:dyDescent="0.25">
      <c r="A141" s="5"/>
      <c r="B141" s="5"/>
      <c r="C141" s="190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</row>
    <row r="142" spans="1:22" ht="15.75" x14ac:dyDescent="0.25">
      <c r="A142" s="5"/>
      <c r="B142" s="5"/>
      <c r="C142" s="190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</row>
    <row r="143" spans="1:22" ht="15.75" x14ac:dyDescent="0.25">
      <c r="A143" s="5"/>
      <c r="B143" s="5"/>
      <c r="C143" s="190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</row>
    <row r="144" spans="1:22" ht="15.75" x14ac:dyDescent="0.25">
      <c r="A144" s="5"/>
      <c r="B144" s="5"/>
      <c r="C144" s="190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</row>
    <row r="145" spans="1:22" ht="15.75" x14ac:dyDescent="0.25">
      <c r="A145" s="5"/>
      <c r="B145" s="5"/>
      <c r="C145" s="190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</row>
    <row r="146" spans="1:22" ht="15.75" x14ac:dyDescent="0.25">
      <c r="A146" s="5"/>
      <c r="B146" s="5"/>
      <c r="C146" s="190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</row>
    <row r="147" spans="1:22" ht="15.75" x14ac:dyDescent="0.25">
      <c r="A147" s="5"/>
      <c r="B147" s="5"/>
      <c r="C147" s="190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</row>
    <row r="148" spans="1:22" ht="15.75" x14ac:dyDescent="0.25">
      <c r="A148" s="5"/>
      <c r="B148" s="5"/>
      <c r="C148" s="190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</row>
    <row r="149" spans="1:22" ht="15.75" x14ac:dyDescent="0.25">
      <c r="A149" s="5"/>
      <c r="B149" s="5"/>
      <c r="C149" s="190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</row>
    <row r="150" spans="1:22" ht="15.75" x14ac:dyDescent="0.25">
      <c r="A150" s="5"/>
      <c r="B150" s="5"/>
      <c r="C150" s="190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</row>
    <row r="151" spans="1:22" ht="15.75" x14ac:dyDescent="0.25">
      <c r="A151" s="5"/>
      <c r="B151" s="5"/>
      <c r="C151" s="190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</row>
    <row r="152" spans="1:22" ht="15.75" x14ac:dyDescent="0.25">
      <c r="A152" s="5"/>
      <c r="B152" s="5"/>
      <c r="C152" s="190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</row>
    <row r="153" spans="1:22" ht="15.75" x14ac:dyDescent="0.25">
      <c r="A153" s="5"/>
      <c r="B153" s="5"/>
      <c r="C153" s="190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</row>
    <row r="154" spans="1:22" ht="15.75" x14ac:dyDescent="0.25">
      <c r="A154" s="5"/>
      <c r="B154" s="5"/>
      <c r="C154" s="190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</row>
    <row r="155" spans="1:22" ht="15.75" x14ac:dyDescent="0.25">
      <c r="A155" s="5"/>
      <c r="B155" s="5"/>
      <c r="C155" s="190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</row>
    <row r="156" spans="1:22" ht="15.75" x14ac:dyDescent="0.25">
      <c r="A156" s="5"/>
      <c r="B156" s="5"/>
      <c r="C156" s="190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</row>
    <row r="157" spans="1:22" ht="15.75" x14ac:dyDescent="0.25">
      <c r="A157" s="5"/>
      <c r="B157" s="5"/>
      <c r="C157" s="190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</row>
    <row r="158" spans="1:22" ht="15.75" x14ac:dyDescent="0.25">
      <c r="A158" s="5"/>
      <c r="B158" s="5"/>
      <c r="C158" s="190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</row>
    <row r="159" spans="1:22" ht="15.75" x14ac:dyDescent="0.25">
      <c r="A159" s="5"/>
      <c r="B159" s="5"/>
      <c r="C159" s="190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</row>
    <row r="160" spans="1:22" ht="15.75" x14ac:dyDescent="0.25">
      <c r="A160" s="5"/>
      <c r="B160" s="5"/>
      <c r="C160" s="190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</row>
    <row r="161" spans="1:22" ht="15.75" x14ac:dyDescent="0.25">
      <c r="A161" s="5"/>
      <c r="B161" s="5"/>
      <c r="C161" s="190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</row>
    <row r="162" spans="1:22" ht="15.75" x14ac:dyDescent="0.25">
      <c r="A162" s="5"/>
      <c r="B162" s="5"/>
      <c r="C162" s="190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</row>
    <row r="163" spans="1:22" ht="15.75" x14ac:dyDescent="0.25">
      <c r="A163" s="5"/>
      <c r="B163" s="5"/>
      <c r="C163" s="190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</row>
    <row r="164" spans="1:22" ht="15.75" x14ac:dyDescent="0.25">
      <c r="A164" s="5"/>
      <c r="B164" s="5"/>
      <c r="C164" s="190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</row>
    <row r="165" spans="1:22" ht="15.75" x14ac:dyDescent="0.25">
      <c r="A165" s="5"/>
      <c r="B165" s="5"/>
      <c r="C165" s="190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</row>
    <row r="166" spans="1:22" ht="15.75" x14ac:dyDescent="0.25">
      <c r="A166" s="5"/>
      <c r="B166" s="5"/>
      <c r="C166" s="190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</row>
    <row r="167" spans="1:22" ht="15.75" x14ac:dyDescent="0.25">
      <c r="A167" s="5"/>
      <c r="B167" s="5"/>
      <c r="C167" s="190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</row>
    <row r="168" spans="1:22" ht="15.75" x14ac:dyDescent="0.25">
      <c r="A168" s="5"/>
      <c r="B168" s="5"/>
      <c r="C168" s="190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</row>
    <row r="169" spans="1:22" ht="15.75" x14ac:dyDescent="0.25">
      <c r="A169" s="5"/>
      <c r="B169" s="5"/>
      <c r="C169" s="190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</row>
    <row r="170" spans="1:22" ht="15.75" x14ac:dyDescent="0.25">
      <c r="A170" s="5"/>
      <c r="B170" s="5"/>
      <c r="C170" s="190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</row>
    <row r="171" spans="1:22" ht="15.75" x14ac:dyDescent="0.25">
      <c r="A171" s="5"/>
      <c r="B171" s="5"/>
      <c r="C171" s="190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</row>
    <row r="172" spans="1:22" ht="15.75" x14ac:dyDescent="0.25">
      <c r="A172" s="5"/>
      <c r="B172" s="5"/>
      <c r="C172" s="190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</row>
    <row r="173" spans="1:22" ht="15.75" x14ac:dyDescent="0.25">
      <c r="A173" s="5"/>
      <c r="B173" s="5"/>
      <c r="C173" s="190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</row>
    <row r="174" spans="1:22" ht="15.75" x14ac:dyDescent="0.25">
      <c r="A174" s="5"/>
      <c r="B174" s="5"/>
      <c r="C174" s="190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</row>
    <row r="175" spans="1:22" ht="15.75" x14ac:dyDescent="0.25">
      <c r="A175" s="5"/>
      <c r="B175" s="5"/>
      <c r="C175" s="190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</row>
    <row r="176" spans="1:22" ht="15.75" x14ac:dyDescent="0.25">
      <c r="A176" s="5"/>
      <c r="B176" s="5"/>
      <c r="C176" s="190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</row>
    <row r="177" spans="1:22" ht="15.75" x14ac:dyDescent="0.25">
      <c r="A177" s="5"/>
      <c r="B177" s="5"/>
      <c r="C177" s="190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</row>
    <row r="178" spans="1:22" ht="15.75" x14ac:dyDescent="0.25">
      <c r="A178" s="5"/>
      <c r="B178" s="5"/>
      <c r="C178" s="190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</row>
    <row r="179" spans="1:22" ht="15.75" x14ac:dyDescent="0.25">
      <c r="A179" s="5"/>
      <c r="B179" s="5"/>
      <c r="C179" s="190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</row>
    <row r="180" spans="1:22" ht="15.75" x14ac:dyDescent="0.25">
      <c r="A180" s="5"/>
      <c r="B180" s="5"/>
      <c r="C180" s="190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</row>
    <row r="181" spans="1:22" ht="15.75" x14ac:dyDescent="0.25">
      <c r="A181" s="5"/>
      <c r="B181" s="5"/>
      <c r="C181" s="190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</row>
    <row r="182" spans="1:22" ht="15.75" x14ac:dyDescent="0.25">
      <c r="A182" s="5"/>
      <c r="B182" s="5"/>
      <c r="C182" s="190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</row>
    <row r="183" spans="1:22" ht="15.75" x14ac:dyDescent="0.25">
      <c r="A183" s="5"/>
      <c r="B183" s="5"/>
      <c r="C183" s="190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</row>
    <row r="184" spans="1:22" ht="15.75" x14ac:dyDescent="0.25">
      <c r="A184" s="5"/>
      <c r="B184" s="5"/>
      <c r="C184" s="190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</row>
    <row r="185" spans="1:22" ht="15.75" x14ac:dyDescent="0.25">
      <c r="A185" s="5"/>
      <c r="B185" s="5"/>
      <c r="C185" s="190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</row>
    <row r="186" spans="1:22" ht="15.75" x14ac:dyDescent="0.25">
      <c r="A186" s="5"/>
      <c r="B186" s="5"/>
      <c r="C186" s="190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</row>
    <row r="187" spans="1:22" ht="15.75" x14ac:dyDescent="0.25">
      <c r="A187" s="5"/>
      <c r="B187" s="5"/>
      <c r="C187" s="190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</row>
    <row r="188" spans="1:22" ht="15.75" x14ac:dyDescent="0.25">
      <c r="A188" s="5"/>
      <c r="B188" s="5"/>
      <c r="C188" s="190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</row>
    <row r="189" spans="1:22" ht="15.75" x14ac:dyDescent="0.25">
      <c r="A189" s="5"/>
      <c r="B189" s="5"/>
      <c r="C189" s="190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</row>
    <row r="190" spans="1:22" ht="15.75" x14ac:dyDescent="0.25">
      <c r="A190" s="5"/>
      <c r="B190" s="5"/>
      <c r="C190" s="190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</row>
    <row r="191" spans="1:22" ht="15.75" x14ac:dyDescent="0.25">
      <c r="A191" s="5"/>
      <c r="B191" s="5"/>
      <c r="C191" s="190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</row>
    <row r="192" spans="1:22" ht="15.75" x14ac:dyDescent="0.25">
      <c r="A192" s="5"/>
      <c r="B192" s="5"/>
      <c r="C192" s="190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</row>
    <row r="193" spans="1:22" ht="15.75" x14ac:dyDescent="0.25">
      <c r="A193" s="5"/>
      <c r="B193" s="5"/>
      <c r="C193" s="190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</row>
    <row r="194" spans="1:22" ht="15.75" x14ac:dyDescent="0.25">
      <c r="A194" s="5"/>
      <c r="B194" s="5"/>
      <c r="C194" s="190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</row>
    <row r="195" spans="1:22" ht="15.75" x14ac:dyDescent="0.25">
      <c r="A195" s="5"/>
      <c r="B195" s="5"/>
      <c r="C195" s="190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</row>
    <row r="196" spans="1:22" ht="15.75" x14ac:dyDescent="0.25">
      <c r="A196" s="5"/>
      <c r="B196" s="5"/>
      <c r="C196" s="190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</row>
    <row r="197" spans="1:22" ht="15.75" x14ac:dyDescent="0.25">
      <c r="A197" s="5"/>
      <c r="B197" s="5"/>
      <c r="C197" s="190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</row>
    <row r="198" spans="1:22" ht="15.75" x14ac:dyDescent="0.25">
      <c r="A198" s="5"/>
      <c r="B198" s="5"/>
      <c r="C198" s="190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</row>
    <row r="199" spans="1:22" ht="15.75" x14ac:dyDescent="0.25">
      <c r="A199" s="5"/>
      <c r="B199" s="5"/>
      <c r="C199" s="190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</row>
    <row r="200" spans="1:22" ht="15.75" x14ac:dyDescent="0.25">
      <c r="A200" s="5"/>
      <c r="B200" s="5"/>
      <c r="C200" s="190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</row>
    <row r="201" spans="1:22" ht="15.75" x14ac:dyDescent="0.25">
      <c r="A201" s="5"/>
      <c r="B201" s="5"/>
      <c r="C201" s="190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</row>
    <row r="202" spans="1:22" ht="15.75" x14ac:dyDescent="0.25">
      <c r="A202" s="5"/>
      <c r="B202" s="5"/>
      <c r="C202" s="190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</row>
    <row r="203" spans="1:22" ht="15.75" x14ac:dyDescent="0.25">
      <c r="A203" s="5"/>
      <c r="B203" s="5"/>
      <c r="C203" s="190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</row>
    <row r="204" spans="1:22" ht="15.75" x14ac:dyDescent="0.25">
      <c r="A204" s="5"/>
      <c r="B204" s="5"/>
      <c r="C204" s="190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</row>
    <row r="205" spans="1:22" ht="15.75" x14ac:dyDescent="0.25">
      <c r="A205" s="5"/>
      <c r="B205" s="5"/>
      <c r="C205" s="190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</row>
    <row r="206" spans="1:22" ht="15.75" x14ac:dyDescent="0.25">
      <c r="A206" s="5"/>
      <c r="B206" s="5"/>
      <c r="C206" s="190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</row>
    <row r="207" spans="1:22" ht="15.75" x14ac:dyDescent="0.25">
      <c r="A207" s="5"/>
      <c r="B207" s="5"/>
      <c r="C207" s="190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</row>
    <row r="208" spans="1:22" ht="15.75" x14ac:dyDescent="0.25">
      <c r="A208" s="5"/>
      <c r="B208" s="5"/>
      <c r="C208" s="190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</row>
    <row r="209" spans="1:22" ht="15.75" x14ac:dyDescent="0.25">
      <c r="A209" s="5"/>
      <c r="B209" s="5"/>
      <c r="C209" s="190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</row>
    <row r="210" spans="1:22" ht="15.75" x14ac:dyDescent="0.25">
      <c r="A210" s="5"/>
      <c r="B210" s="5"/>
      <c r="C210" s="190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</row>
    <row r="211" spans="1:22" ht="15.75" x14ac:dyDescent="0.25">
      <c r="A211" s="5"/>
      <c r="B211" s="5"/>
      <c r="C211" s="190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</row>
    <row r="212" spans="1:22" ht="15.75" x14ac:dyDescent="0.25">
      <c r="A212" s="5"/>
      <c r="B212" s="5"/>
      <c r="C212" s="190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</row>
    <row r="213" spans="1:22" ht="15.75" x14ac:dyDescent="0.25">
      <c r="A213" s="5"/>
      <c r="B213" s="5"/>
      <c r="C213" s="190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</row>
    <row r="214" spans="1:22" ht="15.75" x14ac:dyDescent="0.25">
      <c r="A214" s="5"/>
      <c r="B214" s="5"/>
      <c r="C214" s="190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</row>
    <row r="215" spans="1:22" ht="15.75" x14ac:dyDescent="0.25">
      <c r="A215" s="5"/>
      <c r="B215" s="5"/>
      <c r="C215" s="190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</row>
    <row r="216" spans="1:22" ht="15.75" x14ac:dyDescent="0.25">
      <c r="A216" s="5"/>
      <c r="B216" s="5"/>
      <c r="C216" s="190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</row>
    <row r="217" spans="1:22" ht="15.75" x14ac:dyDescent="0.25">
      <c r="A217" s="5"/>
      <c r="B217" s="5"/>
      <c r="C217" s="190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</row>
    <row r="218" spans="1:22" ht="15.75" x14ac:dyDescent="0.25">
      <c r="A218" s="5"/>
      <c r="B218" s="5"/>
      <c r="C218" s="190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</row>
    <row r="219" spans="1:22" ht="15.75" x14ac:dyDescent="0.25">
      <c r="A219" s="5"/>
      <c r="B219" s="5"/>
      <c r="C219" s="190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</row>
    <row r="220" spans="1:22" ht="15.75" x14ac:dyDescent="0.25">
      <c r="A220" s="5"/>
      <c r="B220" s="5"/>
      <c r="C220" s="190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</row>
    <row r="221" spans="1:22" ht="15.75" x14ac:dyDescent="0.25">
      <c r="A221" s="5"/>
      <c r="B221" s="5"/>
      <c r="C221" s="190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</row>
    <row r="222" spans="1:22" ht="15.75" x14ac:dyDescent="0.25">
      <c r="A222" s="5"/>
      <c r="B222" s="5"/>
      <c r="C222" s="190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</row>
    <row r="223" spans="1:22" ht="15.75" x14ac:dyDescent="0.25">
      <c r="A223" s="5"/>
      <c r="B223" s="5"/>
      <c r="C223" s="190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</row>
    <row r="224" spans="1:22" ht="15.75" x14ac:dyDescent="0.25">
      <c r="A224" s="5"/>
      <c r="B224" s="5"/>
      <c r="C224" s="190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</row>
    <row r="225" spans="1:22" ht="15.75" x14ac:dyDescent="0.25">
      <c r="A225" s="5"/>
      <c r="B225" s="5"/>
      <c r="C225" s="190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</row>
    <row r="226" spans="1:22" ht="15.75" x14ac:dyDescent="0.25">
      <c r="A226" s="5"/>
      <c r="B226" s="5"/>
      <c r="C226" s="190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</row>
    <row r="227" spans="1:22" ht="15.75" x14ac:dyDescent="0.25">
      <c r="A227" s="5"/>
      <c r="B227" s="5"/>
      <c r="C227" s="190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</row>
    <row r="228" spans="1:22" ht="15.75" x14ac:dyDescent="0.25">
      <c r="A228" s="5"/>
      <c r="B228" s="5"/>
      <c r="C228" s="190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</row>
    <row r="229" spans="1:22" ht="15.75" x14ac:dyDescent="0.25">
      <c r="A229" s="5"/>
      <c r="B229" s="5"/>
      <c r="C229" s="190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</row>
    <row r="230" spans="1:22" ht="15.75" x14ac:dyDescent="0.25">
      <c r="A230" s="5"/>
      <c r="B230" s="5"/>
      <c r="C230" s="190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</row>
    <row r="231" spans="1:22" ht="15.75" x14ac:dyDescent="0.25">
      <c r="A231" s="5"/>
      <c r="B231" s="5"/>
      <c r="C231" s="190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</row>
    <row r="232" spans="1:22" ht="15.75" x14ac:dyDescent="0.25">
      <c r="A232" s="5"/>
      <c r="B232" s="5"/>
      <c r="C232" s="190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</row>
    <row r="233" spans="1:22" ht="15.75" x14ac:dyDescent="0.25">
      <c r="A233" s="5"/>
      <c r="B233" s="5"/>
      <c r="C233" s="190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</row>
    <row r="234" spans="1:22" ht="15.75" x14ac:dyDescent="0.25">
      <c r="A234" s="5"/>
      <c r="B234" s="5"/>
      <c r="C234" s="190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</row>
    <row r="235" spans="1:22" ht="15.75" x14ac:dyDescent="0.25">
      <c r="A235" s="5"/>
      <c r="B235" s="5"/>
      <c r="C235" s="190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</row>
    <row r="236" spans="1:22" ht="15.75" x14ac:dyDescent="0.25">
      <c r="A236" s="5"/>
      <c r="B236" s="5"/>
      <c r="C236" s="190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</row>
    <row r="237" spans="1:22" ht="15.75" x14ac:dyDescent="0.25">
      <c r="A237" s="5"/>
      <c r="B237" s="5"/>
      <c r="C237" s="190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</row>
    <row r="238" spans="1:22" ht="15.75" x14ac:dyDescent="0.25">
      <c r="A238" s="5"/>
      <c r="B238" s="5"/>
      <c r="C238" s="190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</row>
    <row r="239" spans="1:22" ht="15.75" x14ac:dyDescent="0.25">
      <c r="A239" s="5"/>
      <c r="B239" s="5"/>
      <c r="C239" s="190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</row>
    <row r="240" spans="1:22" ht="15.75" x14ac:dyDescent="0.25">
      <c r="A240" s="5"/>
      <c r="B240" s="5"/>
      <c r="C240" s="190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</row>
    <row r="241" spans="1:22" ht="15.75" x14ac:dyDescent="0.25">
      <c r="A241" s="5"/>
      <c r="B241" s="5"/>
      <c r="C241" s="190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</row>
    <row r="242" spans="1:22" ht="15.75" x14ac:dyDescent="0.25">
      <c r="A242" s="5"/>
      <c r="B242" s="5"/>
      <c r="C242" s="190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</row>
    <row r="243" spans="1:22" ht="15.75" x14ac:dyDescent="0.25">
      <c r="A243" s="5"/>
      <c r="B243" s="5"/>
      <c r="C243" s="190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</row>
    <row r="244" spans="1:22" ht="15.75" x14ac:dyDescent="0.25">
      <c r="A244" s="5"/>
      <c r="B244" s="5"/>
      <c r="C244" s="190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</row>
    <row r="245" spans="1:22" ht="15.75" x14ac:dyDescent="0.25">
      <c r="A245" s="5"/>
      <c r="B245" s="5"/>
      <c r="C245" s="190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</row>
    <row r="246" spans="1:22" ht="15.75" x14ac:dyDescent="0.25">
      <c r="A246" s="5"/>
      <c r="B246" s="5"/>
      <c r="C246" s="190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</row>
    <row r="247" spans="1:22" ht="15.75" x14ac:dyDescent="0.25">
      <c r="A247" s="5"/>
      <c r="B247" s="5"/>
      <c r="C247" s="190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</row>
    <row r="248" spans="1:22" ht="15.75" x14ac:dyDescent="0.25">
      <c r="A248" s="5"/>
      <c r="B248" s="5"/>
      <c r="C248" s="190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</row>
    <row r="249" spans="1:22" ht="15.75" x14ac:dyDescent="0.25">
      <c r="A249" s="5"/>
      <c r="B249" s="5"/>
      <c r="C249" s="190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</row>
    <row r="250" spans="1:22" ht="15.75" x14ac:dyDescent="0.25">
      <c r="A250" s="5"/>
      <c r="B250" s="5"/>
      <c r="C250" s="190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</row>
    <row r="251" spans="1:22" ht="15.75" x14ac:dyDescent="0.25">
      <c r="A251" s="5"/>
      <c r="B251" s="5"/>
      <c r="C251" s="190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</row>
    <row r="252" spans="1:22" ht="15.75" x14ac:dyDescent="0.25">
      <c r="A252" s="5"/>
      <c r="B252" s="5"/>
      <c r="C252" s="190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</row>
    <row r="253" spans="1:22" ht="15.75" x14ac:dyDescent="0.25">
      <c r="A253" s="5"/>
      <c r="B253" s="5"/>
      <c r="C253" s="190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</row>
    <row r="254" spans="1:22" ht="15.75" x14ac:dyDescent="0.25">
      <c r="A254" s="5"/>
      <c r="B254" s="5"/>
      <c r="C254" s="190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</row>
    <row r="255" spans="1:22" ht="15.75" x14ac:dyDescent="0.25">
      <c r="A255" s="5"/>
      <c r="B255" s="5"/>
      <c r="C255" s="190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</row>
    <row r="256" spans="1:22" ht="15.75" x14ac:dyDescent="0.25">
      <c r="A256" s="5"/>
      <c r="B256" s="5"/>
      <c r="C256" s="190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</row>
    <row r="257" spans="1:22" ht="15.75" x14ac:dyDescent="0.25">
      <c r="A257" s="5"/>
      <c r="B257" s="5"/>
      <c r="C257" s="190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</row>
    <row r="258" spans="1:22" ht="15.75" x14ac:dyDescent="0.25">
      <c r="A258" s="5"/>
      <c r="B258" s="5"/>
      <c r="C258" s="190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</row>
    <row r="259" spans="1:22" ht="15.75" x14ac:dyDescent="0.25">
      <c r="A259" s="5"/>
      <c r="B259" s="5"/>
      <c r="C259" s="190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</row>
    <row r="260" spans="1:22" ht="15.75" x14ac:dyDescent="0.25">
      <c r="A260" s="5"/>
      <c r="B260" s="5"/>
      <c r="C260" s="190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</row>
    <row r="261" spans="1:22" ht="15.75" x14ac:dyDescent="0.25">
      <c r="A261" s="5"/>
      <c r="B261" s="5"/>
      <c r="C261" s="190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</row>
    <row r="262" spans="1:22" ht="15.75" x14ac:dyDescent="0.25">
      <c r="A262" s="5"/>
      <c r="B262" s="5"/>
      <c r="C262" s="190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</row>
    <row r="263" spans="1:22" ht="15.75" x14ac:dyDescent="0.25">
      <c r="A263" s="5"/>
      <c r="B263" s="5"/>
      <c r="C263" s="190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</row>
    <row r="264" spans="1:22" ht="15.75" x14ac:dyDescent="0.25">
      <c r="A264" s="5"/>
      <c r="B264" s="5"/>
      <c r="C264" s="190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</row>
    <row r="265" spans="1:22" ht="15.75" x14ac:dyDescent="0.25">
      <c r="A265" s="5"/>
      <c r="B265" s="5"/>
      <c r="C265" s="190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</row>
    <row r="266" spans="1:22" ht="15.75" x14ac:dyDescent="0.25">
      <c r="A266" s="5"/>
      <c r="B266" s="5"/>
      <c r="C266" s="190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</row>
    <row r="267" spans="1:22" ht="15.75" x14ac:dyDescent="0.25">
      <c r="A267" s="5"/>
      <c r="B267" s="5"/>
      <c r="C267" s="190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</row>
    <row r="268" spans="1:22" ht="15.75" x14ac:dyDescent="0.25">
      <c r="A268" s="5"/>
      <c r="B268" s="5"/>
      <c r="C268" s="190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</row>
    <row r="269" spans="1:22" ht="15.75" x14ac:dyDescent="0.25">
      <c r="A269" s="5"/>
      <c r="B269" s="5"/>
      <c r="C269" s="190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</row>
    <row r="270" spans="1:22" ht="15.75" x14ac:dyDescent="0.25">
      <c r="A270" s="5"/>
      <c r="B270" s="5"/>
      <c r="C270" s="190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</row>
    <row r="271" spans="1:22" ht="15.75" x14ac:dyDescent="0.25">
      <c r="A271" s="5"/>
      <c r="B271" s="5"/>
      <c r="C271" s="190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</row>
    <row r="272" spans="1:22" ht="15.75" x14ac:dyDescent="0.25">
      <c r="A272" s="5"/>
      <c r="B272" s="5"/>
      <c r="C272" s="190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</row>
    <row r="273" spans="1:22" ht="15.75" x14ac:dyDescent="0.25">
      <c r="A273" s="5"/>
      <c r="B273" s="5"/>
      <c r="C273" s="190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</row>
    <row r="274" spans="1:22" ht="15.75" x14ac:dyDescent="0.25">
      <c r="A274" s="5"/>
      <c r="B274" s="5"/>
      <c r="C274" s="190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</row>
    <row r="275" spans="1:22" ht="15.75" x14ac:dyDescent="0.25">
      <c r="A275" s="5"/>
      <c r="B275" s="5"/>
      <c r="C275" s="190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</row>
    <row r="276" spans="1:22" ht="15.75" x14ac:dyDescent="0.25">
      <c r="A276" s="5"/>
      <c r="B276" s="5"/>
      <c r="C276" s="190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</row>
    <row r="277" spans="1:22" ht="15.75" x14ac:dyDescent="0.25">
      <c r="A277" s="5"/>
      <c r="B277" s="5"/>
      <c r="C277" s="190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</row>
    <row r="278" spans="1:22" ht="15.75" x14ac:dyDescent="0.25">
      <c r="A278" s="5"/>
      <c r="B278" s="5"/>
      <c r="C278" s="190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</row>
    <row r="279" spans="1:22" ht="15.75" x14ac:dyDescent="0.25">
      <c r="A279" s="5"/>
      <c r="B279" s="5"/>
      <c r="C279" s="190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</row>
    <row r="280" spans="1:22" ht="15.75" x14ac:dyDescent="0.25">
      <c r="A280" s="5"/>
      <c r="B280" s="5"/>
      <c r="C280" s="190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</row>
    <row r="281" spans="1:22" ht="15.75" x14ac:dyDescent="0.25">
      <c r="A281" s="5"/>
      <c r="B281" s="5"/>
      <c r="C281" s="190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</row>
    <row r="282" spans="1:22" ht="15.75" x14ac:dyDescent="0.25">
      <c r="A282" s="5"/>
      <c r="B282" s="5"/>
      <c r="C282" s="190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</row>
    <row r="283" spans="1:22" ht="15.75" x14ac:dyDescent="0.25">
      <c r="A283" s="5"/>
      <c r="B283" s="5"/>
      <c r="C283" s="190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</row>
    <row r="284" spans="1:22" ht="15.75" x14ac:dyDescent="0.25">
      <c r="A284" s="5"/>
      <c r="B284" s="5"/>
      <c r="C284" s="190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</row>
    <row r="285" spans="1:22" ht="15.75" x14ac:dyDescent="0.25">
      <c r="A285" s="5"/>
      <c r="B285" s="5"/>
      <c r="C285" s="190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</row>
    <row r="286" spans="1:22" ht="15.75" x14ac:dyDescent="0.25">
      <c r="A286" s="5"/>
      <c r="B286" s="5"/>
      <c r="C286" s="190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</row>
    <row r="287" spans="1:22" ht="15.75" x14ac:dyDescent="0.25">
      <c r="A287" s="5"/>
      <c r="B287" s="5"/>
      <c r="C287" s="190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</row>
    <row r="288" spans="1:22" ht="15.75" x14ac:dyDescent="0.25">
      <c r="A288" s="5"/>
      <c r="B288" s="5"/>
      <c r="C288" s="190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</row>
    <row r="289" spans="1:22" ht="15.75" x14ac:dyDescent="0.25">
      <c r="A289" s="5"/>
      <c r="B289" s="5"/>
      <c r="C289" s="190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</row>
    <row r="290" spans="1:22" ht="15.75" x14ac:dyDescent="0.25">
      <c r="A290" s="5"/>
      <c r="B290" s="5"/>
      <c r="C290" s="190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</row>
    <row r="291" spans="1:22" ht="15.75" x14ac:dyDescent="0.25">
      <c r="A291" s="5"/>
      <c r="B291" s="5"/>
      <c r="C291" s="190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</row>
    <row r="292" spans="1:22" ht="15.75" x14ac:dyDescent="0.25">
      <c r="A292" s="5"/>
      <c r="B292" s="5"/>
      <c r="C292" s="190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</row>
    <row r="293" spans="1:22" ht="15.75" x14ac:dyDescent="0.25">
      <c r="A293" s="5"/>
      <c r="B293" s="5"/>
      <c r="C293" s="190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</row>
    <row r="294" spans="1:22" ht="15.75" x14ac:dyDescent="0.25">
      <c r="A294" s="5"/>
      <c r="B294" s="5"/>
      <c r="C294" s="190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</row>
    <row r="295" spans="1:22" ht="15.75" x14ac:dyDescent="0.25">
      <c r="A295" s="5"/>
      <c r="B295" s="5"/>
      <c r="C295" s="190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</row>
    <row r="296" spans="1:22" ht="15.75" x14ac:dyDescent="0.25">
      <c r="A296" s="5"/>
      <c r="B296" s="5"/>
      <c r="C296" s="190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</row>
    <row r="297" spans="1:22" ht="15.75" x14ac:dyDescent="0.25">
      <c r="A297" s="5"/>
      <c r="B297" s="5"/>
      <c r="C297" s="190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</row>
    <row r="298" spans="1:22" ht="15.75" x14ac:dyDescent="0.25">
      <c r="A298" s="5"/>
      <c r="B298" s="5"/>
      <c r="C298" s="190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</row>
    <row r="299" spans="1:22" ht="15.75" x14ac:dyDescent="0.25">
      <c r="A299" s="5"/>
      <c r="B299" s="5"/>
      <c r="C299" s="190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</row>
    <row r="300" spans="1:22" ht="15.75" x14ac:dyDescent="0.25">
      <c r="A300" s="5"/>
      <c r="B300" s="5"/>
      <c r="C300" s="190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</row>
    <row r="301" spans="1:22" ht="15.75" x14ac:dyDescent="0.25">
      <c r="A301" s="5"/>
      <c r="B301" s="5"/>
      <c r="C301" s="190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</row>
    <row r="302" spans="1:22" ht="15.75" x14ac:dyDescent="0.25">
      <c r="A302" s="5"/>
      <c r="B302" s="5"/>
      <c r="C302" s="190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</row>
    <row r="303" spans="1:22" ht="15.75" x14ac:dyDescent="0.25">
      <c r="A303" s="5"/>
      <c r="B303" s="5"/>
      <c r="C303" s="190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</row>
    <row r="304" spans="1:22" ht="15.75" x14ac:dyDescent="0.25">
      <c r="A304" s="5"/>
      <c r="B304" s="5"/>
      <c r="C304" s="193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191"/>
      <c r="U304" s="5"/>
      <c r="V304" s="5"/>
    </row>
    <row r="305" spans="1:22" ht="15.75" x14ac:dyDescent="0.25">
      <c r="A305" s="5"/>
      <c r="B305" s="5"/>
      <c r="C305" s="19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191"/>
      <c r="U305" s="5"/>
      <c r="V305" s="5"/>
    </row>
    <row r="306" spans="1:22" ht="15.75" x14ac:dyDescent="0.25">
      <c r="A306" s="5"/>
      <c r="B306" s="5"/>
      <c r="C306" s="193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191"/>
      <c r="U306" s="5"/>
      <c r="V306" s="5"/>
    </row>
    <row r="307" spans="1:22" ht="15.75" x14ac:dyDescent="0.25">
      <c r="A307" s="5"/>
      <c r="B307" s="5"/>
      <c r="C307" s="19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191"/>
      <c r="U307" s="5"/>
      <c r="V307" s="5"/>
    </row>
    <row r="308" spans="1:22" ht="15.75" x14ac:dyDescent="0.25">
      <c r="A308" s="5"/>
      <c r="B308" s="5"/>
      <c r="C308" s="193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191"/>
      <c r="U308" s="5"/>
      <c r="V308" s="5"/>
    </row>
    <row r="309" spans="1:22" ht="15.75" x14ac:dyDescent="0.25">
      <c r="A309" s="5"/>
      <c r="B309" s="5"/>
      <c r="C309" s="193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191"/>
      <c r="U309" s="5"/>
      <c r="V309" s="5"/>
    </row>
    <row r="310" spans="1:22" ht="15.75" x14ac:dyDescent="0.25">
      <c r="A310" s="5"/>
      <c r="B310" s="5"/>
      <c r="C310" s="193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191"/>
      <c r="U310" s="5"/>
      <c r="V310" s="5"/>
    </row>
    <row r="311" spans="1:22" ht="15.75" x14ac:dyDescent="0.25">
      <c r="A311" s="5"/>
      <c r="B311" s="5"/>
      <c r="C311" s="193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191"/>
      <c r="U311" s="5"/>
      <c r="V311" s="5"/>
    </row>
    <row r="312" spans="1:22" ht="15.75" x14ac:dyDescent="0.25">
      <c r="A312" s="5"/>
      <c r="B312" s="5"/>
      <c r="C312" s="193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191"/>
      <c r="U312" s="5"/>
      <c r="V312" s="5"/>
    </row>
    <row r="313" spans="1:22" ht="15.75" x14ac:dyDescent="0.25">
      <c r="A313" s="5"/>
      <c r="B313" s="5"/>
      <c r="C313" s="193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191"/>
      <c r="U313" s="5"/>
      <c r="V313" s="5"/>
    </row>
    <row r="314" spans="1:22" ht="15.75" x14ac:dyDescent="0.25">
      <c r="A314" s="5"/>
      <c r="B314" s="5"/>
      <c r="C314" s="193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191"/>
      <c r="U314" s="5"/>
      <c r="V314" s="5"/>
    </row>
    <row r="315" spans="1:22" ht="15.75" x14ac:dyDescent="0.25">
      <c r="A315" s="5"/>
      <c r="B315" s="5"/>
      <c r="C315" s="193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191"/>
      <c r="U315" s="5"/>
      <c r="V315" s="5"/>
    </row>
    <row r="316" spans="1:22" ht="15.75" x14ac:dyDescent="0.25">
      <c r="A316" s="5"/>
      <c r="B316" s="5"/>
      <c r="C316" s="193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191"/>
      <c r="U316" s="5"/>
      <c r="V316" s="5"/>
    </row>
    <row r="317" spans="1:22" ht="15.75" x14ac:dyDescent="0.25">
      <c r="A317" s="5"/>
      <c r="B317" s="5"/>
      <c r="C317" s="193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191"/>
      <c r="U317" s="5"/>
      <c r="V317" s="5"/>
    </row>
    <row r="318" spans="1:22" ht="15.75" x14ac:dyDescent="0.25">
      <c r="A318" s="5"/>
      <c r="B318" s="5"/>
      <c r="C318" s="193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191"/>
      <c r="U318" s="5"/>
      <c r="V318" s="5"/>
    </row>
    <row r="319" spans="1:22" ht="15.75" x14ac:dyDescent="0.25">
      <c r="A319" s="5"/>
      <c r="B319" s="5"/>
      <c r="C319" s="193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191"/>
      <c r="U319" s="5"/>
      <c r="V319" s="5"/>
    </row>
    <row r="320" spans="1:22" ht="15.75" x14ac:dyDescent="0.25">
      <c r="A320" s="5"/>
      <c r="B320" s="5"/>
      <c r="C320" s="193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191"/>
      <c r="U320" s="5"/>
      <c r="V320" s="5"/>
    </row>
    <row r="321" spans="1:22" ht="15.75" x14ac:dyDescent="0.25">
      <c r="A321" s="5"/>
      <c r="B321" s="5"/>
      <c r="C321" s="193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91"/>
      <c r="U321" s="5"/>
      <c r="V321" s="5"/>
    </row>
    <row r="322" spans="1:22" ht="15.75" x14ac:dyDescent="0.25">
      <c r="A322" s="5"/>
      <c r="B322" s="5"/>
      <c r="C322" s="193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91"/>
      <c r="U322" s="5"/>
      <c r="V322" s="5"/>
    </row>
    <row r="323" spans="1:22" ht="15.75" x14ac:dyDescent="0.25">
      <c r="A323" s="5"/>
      <c r="B323" s="5"/>
      <c r="C323" s="193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191"/>
      <c r="U323" s="5"/>
      <c r="V323" s="5"/>
    </row>
    <row r="324" spans="1:22" ht="15.75" x14ac:dyDescent="0.25">
      <c r="A324" s="5"/>
      <c r="B324" s="5"/>
      <c r="C324" s="193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191"/>
      <c r="U324" s="5"/>
      <c r="V324" s="5"/>
    </row>
    <row r="325" spans="1:22" ht="15.75" x14ac:dyDescent="0.25">
      <c r="A325" s="5"/>
      <c r="B325" s="5"/>
      <c r="C325" s="193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191"/>
      <c r="U325" s="5"/>
      <c r="V325" s="5"/>
    </row>
    <row r="326" spans="1:22" ht="15.75" x14ac:dyDescent="0.25">
      <c r="A326" s="5"/>
      <c r="B326" s="5"/>
      <c r="C326" s="193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191"/>
      <c r="U326" s="5"/>
      <c r="V326" s="5"/>
    </row>
    <row r="327" spans="1:22" ht="15.75" x14ac:dyDescent="0.25">
      <c r="A327" s="5"/>
      <c r="B327" s="5"/>
      <c r="C327" s="193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191"/>
      <c r="U327" s="5"/>
      <c r="V327" s="5"/>
    </row>
    <row r="328" spans="1:22" ht="15.75" x14ac:dyDescent="0.25">
      <c r="A328" s="5"/>
      <c r="B328" s="5"/>
      <c r="C328" s="193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191"/>
      <c r="U328" s="5"/>
      <c r="V328" s="5"/>
    </row>
    <row r="329" spans="1:22" ht="15.75" x14ac:dyDescent="0.25">
      <c r="A329" s="5"/>
      <c r="B329" s="5"/>
      <c r="C329" s="193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191"/>
      <c r="U329" s="5"/>
      <c r="V329" s="5"/>
    </row>
    <row r="330" spans="1:22" ht="15.75" x14ac:dyDescent="0.25">
      <c r="A330" s="5"/>
      <c r="B330" s="5"/>
      <c r="C330" s="193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191"/>
      <c r="U330" s="5"/>
      <c r="V330" s="5"/>
    </row>
    <row r="331" spans="1:22" ht="15.75" x14ac:dyDescent="0.25">
      <c r="A331" s="5"/>
      <c r="B331" s="5"/>
      <c r="C331" s="193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191"/>
      <c r="U331" s="5"/>
      <c r="V331" s="5"/>
    </row>
    <row r="332" spans="1:22" ht="15.75" x14ac:dyDescent="0.25">
      <c r="A332" s="5"/>
      <c r="B332" s="5"/>
      <c r="C332" s="193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191"/>
      <c r="U332" s="5"/>
      <c r="V332" s="5"/>
    </row>
    <row r="333" spans="1:22" ht="15.75" x14ac:dyDescent="0.25">
      <c r="A333" s="5"/>
      <c r="B333" s="5"/>
      <c r="C333" s="193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191"/>
      <c r="U333" s="5"/>
      <c r="V333" s="5"/>
    </row>
    <row r="334" spans="1:22" ht="15.75" x14ac:dyDescent="0.25">
      <c r="A334" s="5"/>
      <c r="B334" s="5"/>
      <c r="C334" s="193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191"/>
      <c r="U334" s="5"/>
      <c r="V334" s="5"/>
    </row>
    <row r="335" spans="1:22" ht="15.75" x14ac:dyDescent="0.25">
      <c r="A335" s="5"/>
      <c r="B335" s="5"/>
      <c r="C335" s="193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191"/>
      <c r="U335" s="5"/>
      <c r="V335" s="5"/>
    </row>
    <row r="336" spans="1:22" ht="15.75" x14ac:dyDescent="0.25">
      <c r="A336" s="5"/>
      <c r="B336" s="5"/>
      <c r="C336" s="193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191"/>
      <c r="U336" s="5"/>
      <c r="V336" s="5"/>
    </row>
    <row r="337" spans="1:22" ht="15.75" x14ac:dyDescent="0.25">
      <c r="A337" s="5"/>
      <c r="B337" s="5"/>
      <c r="C337" s="193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191"/>
      <c r="U337" s="5"/>
      <c r="V337" s="5"/>
    </row>
    <row r="338" spans="1:22" ht="15.75" x14ac:dyDescent="0.25">
      <c r="A338" s="5"/>
      <c r="B338" s="5"/>
      <c r="C338" s="193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191"/>
      <c r="U338" s="5"/>
      <c r="V338" s="5"/>
    </row>
    <row r="339" spans="1:22" ht="15.75" x14ac:dyDescent="0.25">
      <c r="A339" s="5"/>
      <c r="B339" s="5"/>
      <c r="C339" s="193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191"/>
      <c r="U339" s="5"/>
      <c r="V339" s="5"/>
    </row>
    <row r="340" spans="1:22" ht="15.75" x14ac:dyDescent="0.25">
      <c r="A340" s="5"/>
      <c r="B340" s="5"/>
      <c r="C340" s="193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191"/>
      <c r="U340" s="5"/>
      <c r="V340" s="5"/>
    </row>
    <row r="341" spans="1:22" ht="15.75" x14ac:dyDescent="0.25">
      <c r="A341" s="5"/>
      <c r="B341" s="5"/>
      <c r="C341" s="193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191"/>
      <c r="U341" s="5"/>
      <c r="V341" s="5"/>
    </row>
    <row r="342" spans="1:22" ht="15.75" x14ac:dyDescent="0.25">
      <c r="A342" s="5"/>
      <c r="B342" s="5"/>
      <c r="C342" s="193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191"/>
      <c r="U342" s="5"/>
      <c r="V342" s="5"/>
    </row>
    <row r="343" spans="1:22" ht="15.75" x14ac:dyDescent="0.25">
      <c r="A343" s="5"/>
      <c r="B343" s="5"/>
      <c r="C343" s="193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191"/>
      <c r="U343" s="5"/>
      <c r="V343" s="5"/>
    </row>
    <row r="344" spans="1:22" ht="15.75" x14ac:dyDescent="0.25">
      <c r="A344" s="5"/>
      <c r="B344" s="5"/>
      <c r="C344" s="193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191"/>
      <c r="U344" s="5"/>
      <c r="V344" s="5"/>
    </row>
    <row r="345" spans="1:22" ht="15.75" x14ac:dyDescent="0.25">
      <c r="A345" s="5"/>
      <c r="B345" s="5"/>
      <c r="C345" s="193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191"/>
      <c r="U345" s="5"/>
      <c r="V345" s="5"/>
    </row>
    <row r="346" spans="1:22" ht="15.75" x14ac:dyDescent="0.25">
      <c r="A346" s="5"/>
      <c r="B346" s="5"/>
      <c r="C346" s="193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191"/>
      <c r="U346" s="5"/>
      <c r="V346" s="5"/>
    </row>
    <row r="347" spans="1:22" ht="15.75" x14ac:dyDescent="0.25">
      <c r="A347" s="5"/>
      <c r="B347" s="5"/>
      <c r="C347" s="193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191"/>
      <c r="U347" s="5"/>
      <c r="V347" s="5"/>
    </row>
    <row r="348" spans="1:22" ht="15.75" x14ac:dyDescent="0.25">
      <c r="A348" s="5"/>
      <c r="B348" s="5"/>
      <c r="C348" s="193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191"/>
      <c r="U348" s="5"/>
      <c r="V348" s="5"/>
    </row>
    <row r="349" spans="1:22" ht="15.75" x14ac:dyDescent="0.25">
      <c r="A349" s="5"/>
      <c r="B349" s="5"/>
      <c r="C349" s="193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191"/>
      <c r="U349" s="5"/>
      <c r="V349" s="5"/>
    </row>
    <row r="350" spans="1:22" ht="15.75" x14ac:dyDescent="0.25">
      <c r="A350" s="5"/>
      <c r="B350" s="5"/>
      <c r="C350" s="193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191"/>
      <c r="U350" s="5"/>
      <c r="V350" s="5"/>
    </row>
    <row r="351" spans="1:22" ht="15.75" x14ac:dyDescent="0.25">
      <c r="A351" s="5"/>
      <c r="B351" s="5"/>
      <c r="C351" s="193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191"/>
      <c r="U351" s="5"/>
      <c r="V351" s="5"/>
    </row>
    <row r="352" spans="1:22" ht="15.75" x14ac:dyDescent="0.25">
      <c r="A352" s="5"/>
      <c r="B352" s="5"/>
      <c r="C352" s="193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191"/>
      <c r="U352" s="5"/>
      <c r="V352" s="5"/>
    </row>
    <row r="353" spans="1:22" ht="15.75" x14ac:dyDescent="0.25">
      <c r="A353" s="5"/>
      <c r="B353" s="5"/>
      <c r="C353" s="193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191"/>
      <c r="U353" s="5"/>
      <c r="V353" s="5"/>
    </row>
    <row r="354" spans="1:22" ht="15.75" x14ac:dyDescent="0.25">
      <c r="A354" s="5"/>
      <c r="B354" s="5"/>
      <c r="C354" s="193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191"/>
      <c r="U354" s="5"/>
      <c r="V354" s="5"/>
    </row>
    <row r="355" spans="1:22" ht="15.75" x14ac:dyDescent="0.25">
      <c r="A355" s="5"/>
      <c r="B355" s="5"/>
      <c r="C355" s="193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191"/>
      <c r="U355" s="5"/>
      <c r="V355" s="5"/>
    </row>
    <row r="356" spans="1:22" ht="15.75" x14ac:dyDescent="0.25">
      <c r="A356" s="5"/>
      <c r="B356" s="5"/>
      <c r="C356" s="193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191"/>
      <c r="U356" s="5"/>
      <c r="V356" s="5"/>
    </row>
    <row r="357" spans="1:22" ht="15.75" x14ac:dyDescent="0.25">
      <c r="A357" s="5"/>
      <c r="B357" s="5"/>
      <c r="C357" s="193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191"/>
      <c r="U357" s="5"/>
      <c r="V357" s="5"/>
    </row>
    <row r="358" spans="1:22" ht="15.75" x14ac:dyDescent="0.25">
      <c r="A358" s="5"/>
      <c r="B358" s="5"/>
      <c r="C358" s="193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191"/>
      <c r="U358" s="5"/>
      <c r="V358" s="5"/>
    </row>
    <row r="359" spans="1:22" ht="15.75" x14ac:dyDescent="0.25">
      <c r="A359" s="5"/>
      <c r="B359" s="5"/>
      <c r="C359" s="193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191"/>
      <c r="U359" s="5"/>
      <c r="V359" s="5"/>
    </row>
    <row r="360" spans="1:22" ht="15.75" x14ac:dyDescent="0.25">
      <c r="A360" s="5"/>
      <c r="B360" s="5"/>
      <c r="C360" s="193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191"/>
      <c r="U360" s="5"/>
      <c r="V360" s="5"/>
    </row>
    <row r="361" spans="1:22" ht="15.75" x14ac:dyDescent="0.25">
      <c r="A361" s="5"/>
      <c r="B361" s="5"/>
      <c r="C361" s="193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191"/>
      <c r="U361" s="5"/>
      <c r="V361" s="5"/>
    </row>
    <row r="362" spans="1:22" ht="15.75" x14ac:dyDescent="0.25">
      <c r="A362" s="5"/>
      <c r="B362" s="5"/>
      <c r="C362" s="193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191"/>
      <c r="U362" s="5"/>
      <c r="V362" s="5"/>
    </row>
    <row r="363" spans="1:22" ht="15.75" x14ac:dyDescent="0.25">
      <c r="A363" s="5"/>
      <c r="B363" s="5"/>
      <c r="C363" s="193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191"/>
      <c r="U363" s="5"/>
      <c r="V363" s="5"/>
    </row>
    <row r="364" spans="1:22" ht="15.75" x14ac:dyDescent="0.25">
      <c r="A364" s="5"/>
      <c r="B364" s="5"/>
      <c r="C364" s="193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191"/>
      <c r="U364" s="5"/>
      <c r="V364" s="5"/>
    </row>
    <row r="365" spans="1:22" ht="15.75" x14ac:dyDescent="0.25">
      <c r="A365" s="5"/>
      <c r="B365" s="5"/>
      <c r="C365" s="193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191"/>
      <c r="U365" s="5"/>
      <c r="V365" s="5"/>
    </row>
    <row r="366" spans="1:22" ht="15.75" x14ac:dyDescent="0.25">
      <c r="A366" s="5"/>
      <c r="B366" s="5"/>
      <c r="C366" s="193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191"/>
      <c r="U366" s="5"/>
      <c r="V366" s="5"/>
    </row>
    <row r="367" spans="1:22" ht="15.75" x14ac:dyDescent="0.25">
      <c r="A367" s="5"/>
      <c r="B367" s="5"/>
      <c r="C367" s="193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191"/>
      <c r="U367" s="5"/>
      <c r="V367" s="5"/>
    </row>
    <row r="368" spans="1:22" ht="15.75" x14ac:dyDescent="0.25">
      <c r="A368" s="5"/>
      <c r="B368" s="5"/>
      <c r="C368" s="193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191"/>
      <c r="U368" s="5"/>
      <c r="V368" s="5"/>
    </row>
    <row r="369" spans="1:22" ht="15.75" x14ac:dyDescent="0.25">
      <c r="A369" s="5"/>
      <c r="B369" s="5"/>
      <c r="C369" s="193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191"/>
      <c r="U369" s="5"/>
      <c r="V369" s="5"/>
    </row>
    <row r="370" spans="1:22" ht="15.75" x14ac:dyDescent="0.25">
      <c r="A370" s="5"/>
      <c r="B370" s="5"/>
      <c r="C370" s="193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191"/>
      <c r="U370" s="5"/>
      <c r="V370" s="5"/>
    </row>
    <row r="371" spans="1:22" ht="15.75" x14ac:dyDescent="0.25">
      <c r="A371" s="5"/>
      <c r="B371" s="5"/>
      <c r="C371" s="193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191"/>
      <c r="U371" s="5"/>
      <c r="V371" s="5"/>
    </row>
    <row r="372" spans="1:22" ht="15.75" x14ac:dyDescent="0.25">
      <c r="A372" s="5"/>
      <c r="B372" s="5"/>
      <c r="C372" s="193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191"/>
      <c r="U372" s="5"/>
      <c r="V372" s="5"/>
    </row>
    <row r="373" spans="1:22" ht="15.75" x14ac:dyDescent="0.25">
      <c r="A373" s="5"/>
      <c r="B373" s="5"/>
      <c r="C373" s="193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191"/>
      <c r="U373" s="5"/>
      <c r="V373" s="5"/>
    </row>
    <row r="374" spans="1:22" ht="15.75" x14ac:dyDescent="0.25">
      <c r="A374" s="5"/>
      <c r="B374" s="5"/>
      <c r="C374" s="193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191"/>
      <c r="U374" s="5"/>
      <c r="V374" s="5"/>
    </row>
    <row r="375" spans="1:22" ht="15.75" x14ac:dyDescent="0.25">
      <c r="A375" s="5"/>
      <c r="B375" s="5"/>
      <c r="C375" s="193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191"/>
      <c r="U375" s="5"/>
      <c r="V375" s="5"/>
    </row>
    <row r="376" spans="1:22" ht="15.75" x14ac:dyDescent="0.25">
      <c r="A376" s="5"/>
      <c r="B376" s="5"/>
      <c r="C376" s="193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191"/>
      <c r="U376" s="5"/>
      <c r="V376" s="5"/>
    </row>
    <row r="377" spans="1:22" ht="15.75" x14ac:dyDescent="0.25">
      <c r="A377" s="5"/>
      <c r="B377" s="5"/>
      <c r="C377" s="193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191"/>
      <c r="U377" s="5"/>
      <c r="V377" s="5"/>
    </row>
    <row r="378" spans="1:22" ht="15.75" x14ac:dyDescent="0.25">
      <c r="A378" s="5"/>
      <c r="B378" s="5"/>
      <c r="C378" s="193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191"/>
      <c r="U378" s="5"/>
      <c r="V378" s="5"/>
    </row>
    <row r="379" spans="1:22" ht="15.75" x14ac:dyDescent="0.25">
      <c r="A379" s="5"/>
      <c r="B379" s="5"/>
      <c r="C379" s="193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191"/>
      <c r="U379" s="5"/>
      <c r="V379" s="5"/>
    </row>
    <row r="380" spans="1:22" ht="15.75" x14ac:dyDescent="0.25">
      <c r="A380" s="5"/>
      <c r="B380" s="5"/>
      <c r="C380" s="193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191"/>
      <c r="U380" s="5"/>
      <c r="V380" s="5"/>
    </row>
    <row r="381" spans="1:22" ht="15.75" x14ac:dyDescent="0.25">
      <c r="A381" s="5"/>
      <c r="B381" s="5"/>
      <c r="C381" s="193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191"/>
      <c r="U381" s="5"/>
      <c r="V381" s="5"/>
    </row>
    <row r="382" spans="1:22" ht="15.75" x14ac:dyDescent="0.25">
      <c r="A382" s="5"/>
      <c r="B382" s="5"/>
      <c r="C382" s="193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191"/>
      <c r="U382" s="5"/>
      <c r="V382" s="5"/>
    </row>
    <row r="383" spans="1:22" ht="15.75" x14ac:dyDescent="0.25">
      <c r="A383" s="5"/>
      <c r="B383" s="5"/>
      <c r="C383" s="193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191"/>
      <c r="U383" s="5"/>
      <c r="V383" s="5"/>
    </row>
    <row r="384" spans="1:22" ht="15.75" x14ac:dyDescent="0.25">
      <c r="A384" s="5"/>
      <c r="B384" s="5"/>
      <c r="C384" s="193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191"/>
      <c r="U384" s="5"/>
      <c r="V384" s="5"/>
    </row>
    <row r="385" spans="1:22" ht="15.75" x14ac:dyDescent="0.25">
      <c r="A385" s="5"/>
      <c r="B385" s="5"/>
      <c r="C385" s="193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191"/>
      <c r="U385" s="5"/>
      <c r="V385" s="5"/>
    </row>
    <row r="386" spans="1:22" ht="15.75" x14ac:dyDescent="0.25">
      <c r="A386" s="5"/>
      <c r="B386" s="5"/>
      <c r="C386" s="193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191"/>
      <c r="U386" s="5"/>
      <c r="V386" s="5"/>
    </row>
    <row r="387" spans="1:22" ht="15.75" x14ac:dyDescent="0.25">
      <c r="A387" s="5"/>
      <c r="B387" s="5"/>
      <c r="C387" s="193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191"/>
      <c r="U387" s="5"/>
      <c r="V387" s="5"/>
    </row>
    <row r="388" spans="1:22" ht="15.75" x14ac:dyDescent="0.25">
      <c r="A388" s="5"/>
      <c r="B388" s="5"/>
      <c r="C388" s="193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191"/>
      <c r="U388" s="5"/>
      <c r="V388" s="5"/>
    </row>
    <row r="389" spans="1:22" ht="15.75" x14ac:dyDescent="0.25">
      <c r="A389" s="5"/>
      <c r="B389" s="5"/>
      <c r="C389" s="193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191"/>
      <c r="U389" s="5"/>
      <c r="V389" s="5"/>
    </row>
    <row r="390" spans="1:22" ht="15.75" x14ac:dyDescent="0.25">
      <c r="A390" s="5"/>
      <c r="B390" s="5"/>
      <c r="C390" s="193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191"/>
      <c r="U390" s="5"/>
      <c r="V390" s="5"/>
    </row>
    <row r="391" spans="1:22" ht="15.75" x14ac:dyDescent="0.25">
      <c r="A391" s="5"/>
      <c r="B391" s="5"/>
      <c r="C391" s="193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191"/>
      <c r="U391" s="5"/>
      <c r="V391" s="5"/>
    </row>
    <row r="392" spans="1:22" ht="15.75" x14ac:dyDescent="0.25">
      <c r="A392" s="5"/>
      <c r="B392" s="5"/>
      <c r="C392" s="193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191"/>
      <c r="U392" s="5"/>
      <c r="V392" s="5"/>
    </row>
    <row r="393" spans="1:22" ht="15.75" x14ac:dyDescent="0.25">
      <c r="A393" s="5"/>
      <c r="B393" s="5"/>
      <c r="C393" s="193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191"/>
      <c r="U393" s="5"/>
      <c r="V393" s="5"/>
    </row>
    <row r="394" spans="1:22" ht="15.75" x14ac:dyDescent="0.25">
      <c r="A394" s="5"/>
      <c r="B394" s="5"/>
      <c r="C394" s="193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191"/>
      <c r="U394" s="5"/>
      <c r="V394" s="5"/>
    </row>
    <row r="395" spans="1:22" ht="15.75" x14ac:dyDescent="0.25">
      <c r="A395" s="5"/>
      <c r="B395" s="5"/>
      <c r="C395" s="193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191"/>
      <c r="U395" s="5"/>
      <c r="V395" s="5"/>
    </row>
    <row r="396" spans="1:22" ht="15.75" x14ac:dyDescent="0.25">
      <c r="A396" s="5"/>
      <c r="B396" s="5"/>
      <c r="C396" s="193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191"/>
      <c r="U396" s="5"/>
      <c r="V396" s="5"/>
    </row>
    <row r="397" spans="1:22" ht="15.75" x14ac:dyDescent="0.25">
      <c r="A397" s="5"/>
      <c r="B397" s="5"/>
      <c r="C397" s="193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191"/>
      <c r="U397" s="5"/>
      <c r="V397" s="5"/>
    </row>
    <row r="398" spans="1:22" ht="15.75" x14ac:dyDescent="0.25">
      <c r="A398" s="5"/>
      <c r="B398" s="5"/>
      <c r="C398" s="193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191"/>
      <c r="U398" s="5"/>
      <c r="V398" s="5"/>
    </row>
    <row r="399" spans="1:22" ht="15.75" x14ac:dyDescent="0.25">
      <c r="A399" s="5"/>
      <c r="B399" s="5"/>
      <c r="C399" s="193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191"/>
      <c r="U399" s="5"/>
      <c r="V399" s="5"/>
    </row>
    <row r="400" spans="1:22" ht="15.75" x14ac:dyDescent="0.25">
      <c r="A400" s="5"/>
      <c r="B400" s="5"/>
      <c r="C400" s="193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191"/>
      <c r="U400" s="5"/>
      <c r="V400" s="5"/>
    </row>
    <row r="401" spans="1:22" ht="15.75" x14ac:dyDescent="0.25">
      <c r="A401" s="5"/>
      <c r="B401" s="5"/>
      <c r="C401" s="193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191"/>
      <c r="U401" s="5"/>
      <c r="V401" s="5"/>
    </row>
    <row r="402" spans="1:22" ht="15.75" x14ac:dyDescent="0.25">
      <c r="A402" s="5"/>
      <c r="B402" s="5"/>
      <c r="C402" s="193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191"/>
      <c r="U402" s="5"/>
      <c r="V402" s="5"/>
    </row>
    <row r="403" spans="1:22" ht="15.75" x14ac:dyDescent="0.25">
      <c r="A403" s="5"/>
      <c r="B403" s="5"/>
      <c r="C403" s="193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191"/>
      <c r="U403" s="5"/>
      <c r="V403" s="5"/>
    </row>
    <row r="404" spans="1:22" ht="15.75" x14ac:dyDescent="0.25">
      <c r="A404" s="5"/>
      <c r="B404" s="5"/>
      <c r="C404" s="193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191"/>
      <c r="U404" s="5"/>
      <c r="V404" s="5"/>
    </row>
    <row r="405" spans="1:22" ht="15.75" x14ac:dyDescent="0.25">
      <c r="A405" s="5"/>
      <c r="B405" s="5"/>
      <c r="C405" s="193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191"/>
      <c r="U405" s="5"/>
      <c r="V405" s="5"/>
    </row>
    <row r="406" spans="1:22" ht="15.75" x14ac:dyDescent="0.25">
      <c r="A406" s="5"/>
      <c r="B406" s="5"/>
      <c r="C406" s="193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191"/>
      <c r="U406" s="5"/>
      <c r="V406" s="5"/>
    </row>
    <row r="407" spans="1:22" ht="15.75" x14ac:dyDescent="0.25">
      <c r="A407" s="5"/>
      <c r="B407" s="5"/>
      <c r="C407" s="193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191"/>
      <c r="U407" s="5"/>
      <c r="V407" s="5"/>
    </row>
    <row r="408" spans="1:22" ht="15.75" x14ac:dyDescent="0.25">
      <c r="A408" s="5"/>
      <c r="B408" s="5"/>
      <c r="C408" s="193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191"/>
      <c r="U408" s="5"/>
      <c r="V408" s="5"/>
    </row>
    <row r="409" spans="1:22" ht="15.75" x14ac:dyDescent="0.25">
      <c r="A409" s="5"/>
      <c r="B409" s="5"/>
      <c r="C409" s="193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191"/>
      <c r="U409" s="5"/>
      <c r="V409" s="5"/>
    </row>
    <row r="410" spans="1:22" ht="15.75" x14ac:dyDescent="0.25">
      <c r="A410" s="5"/>
      <c r="B410" s="5"/>
      <c r="C410" s="193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191"/>
      <c r="U410" s="5"/>
      <c r="V410" s="5"/>
    </row>
    <row r="411" spans="1:22" ht="15.75" x14ac:dyDescent="0.25">
      <c r="A411" s="5"/>
      <c r="B411" s="5"/>
      <c r="C411" s="193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191"/>
      <c r="U411" s="5"/>
      <c r="V411" s="5"/>
    </row>
    <row r="412" spans="1:22" ht="15.75" x14ac:dyDescent="0.25">
      <c r="A412" s="5"/>
      <c r="B412" s="5"/>
      <c r="C412" s="193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191"/>
      <c r="U412" s="5"/>
      <c r="V412" s="5"/>
    </row>
    <row r="413" spans="1:22" ht="15.75" x14ac:dyDescent="0.25">
      <c r="A413" s="5"/>
      <c r="B413" s="5"/>
      <c r="C413" s="193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191"/>
      <c r="U413" s="5"/>
      <c r="V413" s="5"/>
    </row>
    <row r="414" spans="1:22" ht="15.75" x14ac:dyDescent="0.25">
      <c r="A414" s="5"/>
      <c r="B414" s="5"/>
      <c r="C414" s="193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191"/>
      <c r="U414" s="5"/>
      <c r="V414" s="5"/>
    </row>
    <row r="415" spans="1:22" ht="15.75" x14ac:dyDescent="0.25">
      <c r="A415" s="5"/>
      <c r="B415" s="5"/>
      <c r="C415" s="193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191"/>
      <c r="U415" s="5"/>
      <c r="V415" s="5"/>
    </row>
    <row r="416" spans="1:22" ht="15.75" x14ac:dyDescent="0.25">
      <c r="A416" s="5"/>
      <c r="B416" s="5"/>
      <c r="C416" s="193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191"/>
      <c r="U416" s="5"/>
      <c r="V416" s="5"/>
    </row>
    <row r="417" spans="1:22" ht="15.75" x14ac:dyDescent="0.25">
      <c r="A417" s="5"/>
      <c r="B417" s="5"/>
      <c r="C417" s="193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191"/>
      <c r="U417" s="5"/>
      <c r="V417" s="5"/>
    </row>
    <row r="418" spans="1:22" ht="15.75" x14ac:dyDescent="0.25">
      <c r="A418" s="5"/>
      <c r="B418" s="5"/>
      <c r="C418" s="193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191"/>
      <c r="U418" s="5"/>
      <c r="V418" s="5"/>
    </row>
    <row r="419" spans="1:22" ht="15.75" x14ac:dyDescent="0.25">
      <c r="A419" s="5"/>
      <c r="B419" s="5"/>
      <c r="C419" s="193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191"/>
      <c r="U419" s="5"/>
      <c r="V419" s="5"/>
    </row>
    <row r="420" spans="1:22" ht="15.75" x14ac:dyDescent="0.25">
      <c r="A420" s="5"/>
      <c r="B420" s="5"/>
      <c r="C420" s="193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191"/>
      <c r="U420" s="5"/>
      <c r="V420" s="5"/>
    </row>
    <row r="421" spans="1:22" ht="15.75" x14ac:dyDescent="0.25">
      <c r="A421" s="5"/>
      <c r="B421" s="5"/>
      <c r="C421" s="193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191"/>
      <c r="U421" s="5"/>
      <c r="V421" s="5"/>
    </row>
    <row r="422" spans="1:22" ht="15.75" x14ac:dyDescent="0.25">
      <c r="A422" s="5"/>
      <c r="B422" s="5"/>
      <c r="C422" s="193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191"/>
      <c r="U422" s="5"/>
      <c r="V422" s="5"/>
    </row>
    <row r="423" spans="1:22" ht="15.75" x14ac:dyDescent="0.25">
      <c r="A423" s="5"/>
      <c r="B423" s="5"/>
      <c r="C423" s="193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191"/>
      <c r="U423" s="5"/>
      <c r="V423" s="5"/>
    </row>
    <row r="424" spans="1:22" ht="15.75" x14ac:dyDescent="0.25">
      <c r="A424" s="5"/>
      <c r="B424" s="5"/>
      <c r="C424" s="193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191"/>
      <c r="U424" s="5"/>
      <c r="V424" s="5"/>
    </row>
    <row r="425" spans="1:22" ht="15.75" x14ac:dyDescent="0.25">
      <c r="A425" s="5"/>
      <c r="B425" s="5"/>
      <c r="C425" s="193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191"/>
      <c r="U425" s="5"/>
      <c r="V425" s="5"/>
    </row>
    <row r="426" spans="1:22" ht="15.75" x14ac:dyDescent="0.25">
      <c r="A426" s="5"/>
      <c r="B426" s="5"/>
      <c r="C426" s="193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191"/>
      <c r="U426" s="5"/>
      <c r="V426" s="5"/>
    </row>
    <row r="427" spans="1:22" ht="15.75" x14ac:dyDescent="0.25">
      <c r="A427" s="5"/>
      <c r="B427" s="5"/>
      <c r="C427" s="193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191"/>
      <c r="U427" s="5"/>
      <c r="V427" s="5"/>
    </row>
    <row r="428" spans="1:22" ht="15.75" x14ac:dyDescent="0.25">
      <c r="A428" s="5"/>
      <c r="B428" s="5"/>
      <c r="C428" s="193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191"/>
      <c r="U428" s="5"/>
      <c r="V428" s="5"/>
    </row>
    <row r="429" spans="1:22" ht="15.75" x14ac:dyDescent="0.25">
      <c r="A429" s="5"/>
      <c r="B429" s="5"/>
      <c r="C429" s="193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191"/>
      <c r="U429" s="5"/>
      <c r="V429" s="5"/>
    </row>
    <row r="430" spans="1:22" ht="15.75" x14ac:dyDescent="0.25">
      <c r="A430" s="5"/>
      <c r="B430" s="5"/>
      <c r="C430" s="193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191"/>
      <c r="U430" s="5"/>
      <c r="V430" s="5"/>
    </row>
    <row r="431" spans="1:22" ht="15.75" x14ac:dyDescent="0.25">
      <c r="A431" s="5"/>
      <c r="B431" s="5"/>
      <c r="C431" s="193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191"/>
      <c r="U431" s="5"/>
      <c r="V431" s="5"/>
    </row>
    <row r="432" spans="1:22" ht="15.75" x14ac:dyDescent="0.25">
      <c r="A432" s="5"/>
      <c r="B432" s="5"/>
      <c r="C432" s="193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191"/>
      <c r="U432" s="5"/>
      <c r="V432" s="5"/>
    </row>
    <row r="433" spans="1:22" ht="15.75" x14ac:dyDescent="0.25">
      <c r="A433" s="5"/>
      <c r="B433" s="5"/>
      <c r="C433" s="193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191"/>
      <c r="U433" s="5"/>
      <c r="V433" s="5"/>
    </row>
    <row r="434" spans="1:22" ht="15.75" x14ac:dyDescent="0.25">
      <c r="A434" s="5"/>
      <c r="B434" s="5"/>
      <c r="C434" s="193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191"/>
      <c r="U434" s="5"/>
      <c r="V434" s="5"/>
    </row>
    <row r="435" spans="1:22" ht="15.75" x14ac:dyDescent="0.25">
      <c r="A435" s="5"/>
      <c r="B435" s="5"/>
      <c r="C435" s="193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191"/>
      <c r="U435" s="5"/>
      <c r="V435" s="5"/>
    </row>
    <row r="436" spans="1:22" ht="15.75" x14ac:dyDescent="0.25">
      <c r="A436" s="5"/>
      <c r="B436" s="5"/>
      <c r="C436" s="193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191"/>
      <c r="U436" s="5"/>
      <c r="V436" s="5"/>
    </row>
    <row r="437" spans="1:22" ht="15.75" x14ac:dyDescent="0.25">
      <c r="A437" s="5"/>
      <c r="B437" s="5"/>
      <c r="C437" s="193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191"/>
      <c r="U437" s="5"/>
      <c r="V437" s="5"/>
    </row>
    <row r="438" spans="1:22" ht="15.75" x14ac:dyDescent="0.25">
      <c r="A438" s="5"/>
      <c r="B438" s="5"/>
      <c r="C438" s="193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191"/>
      <c r="U438" s="5"/>
      <c r="V438" s="5"/>
    </row>
    <row r="439" spans="1:22" ht="15.75" x14ac:dyDescent="0.25">
      <c r="A439" s="5"/>
      <c r="B439" s="5"/>
      <c r="C439" s="193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191"/>
      <c r="U439" s="5"/>
      <c r="V439" s="5"/>
    </row>
    <row r="440" spans="1:22" ht="15.75" x14ac:dyDescent="0.25">
      <c r="A440" s="5"/>
      <c r="B440" s="5"/>
      <c r="C440" s="193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191"/>
      <c r="U440" s="5"/>
      <c r="V440" s="5"/>
    </row>
    <row r="441" spans="1:22" ht="15.75" x14ac:dyDescent="0.25">
      <c r="A441" s="5"/>
      <c r="B441" s="5"/>
      <c r="C441" s="193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191"/>
      <c r="U441" s="5"/>
      <c r="V441" s="5"/>
    </row>
    <row r="442" spans="1:22" ht="15.75" x14ac:dyDescent="0.25">
      <c r="A442" s="5"/>
      <c r="B442" s="5"/>
      <c r="C442" s="193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191"/>
      <c r="U442" s="5"/>
      <c r="V442" s="5"/>
    </row>
    <row r="443" spans="1:22" ht="15.75" x14ac:dyDescent="0.25">
      <c r="A443" s="5"/>
      <c r="B443" s="5"/>
      <c r="C443" s="193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191"/>
      <c r="U443" s="5"/>
      <c r="V443" s="5"/>
    </row>
    <row r="444" spans="1:22" ht="15.75" x14ac:dyDescent="0.25">
      <c r="A444" s="5"/>
      <c r="B444" s="5"/>
      <c r="C444" s="193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191"/>
      <c r="U444" s="5"/>
      <c r="V444" s="5"/>
    </row>
    <row r="445" spans="1:22" ht="15.75" x14ac:dyDescent="0.25">
      <c r="A445" s="5"/>
      <c r="B445" s="5"/>
      <c r="C445" s="193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191"/>
      <c r="U445" s="5"/>
      <c r="V445" s="5"/>
    </row>
    <row r="446" spans="1:22" ht="15.75" x14ac:dyDescent="0.25">
      <c r="A446" s="5"/>
      <c r="B446" s="5"/>
      <c r="C446" s="193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191"/>
      <c r="U446" s="5"/>
      <c r="V446" s="5"/>
    </row>
    <row r="447" spans="1:22" ht="15.75" x14ac:dyDescent="0.25">
      <c r="A447" s="5"/>
      <c r="B447" s="5"/>
      <c r="C447" s="193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191"/>
      <c r="U447" s="5"/>
      <c r="V447" s="5"/>
    </row>
    <row r="448" spans="1:22" ht="15.75" x14ac:dyDescent="0.25">
      <c r="A448" s="5"/>
      <c r="B448" s="5"/>
      <c r="C448" s="193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191"/>
      <c r="U448" s="5"/>
      <c r="V448" s="5"/>
    </row>
    <row r="449" spans="1:22" ht="15.75" x14ac:dyDescent="0.25">
      <c r="A449" s="5"/>
      <c r="B449" s="5"/>
      <c r="C449" s="193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191"/>
      <c r="U449" s="5"/>
      <c r="V449" s="5"/>
    </row>
    <row r="450" spans="1:22" ht="15.75" x14ac:dyDescent="0.25">
      <c r="A450" s="5"/>
      <c r="B450" s="5"/>
      <c r="C450" s="193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191"/>
      <c r="U450" s="5"/>
      <c r="V450" s="5"/>
    </row>
    <row r="451" spans="1:22" ht="15.75" x14ac:dyDescent="0.25">
      <c r="A451" s="5"/>
      <c r="B451" s="5"/>
      <c r="C451" s="193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191"/>
      <c r="U451" s="5"/>
      <c r="V451" s="5"/>
    </row>
    <row r="452" spans="1:22" ht="15.75" x14ac:dyDescent="0.25">
      <c r="A452" s="5"/>
      <c r="B452" s="5"/>
      <c r="C452" s="193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191"/>
      <c r="U452" s="5"/>
      <c r="V452" s="5"/>
    </row>
    <row r="453" spans="1:22" ht="15.75" x14ac:dyDescent="0.25">
      <c r="A453" s="5"/>
      <c r="B453" s="5"/>
      <c r="C453" s="193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191"/>
      <c r="U453" s="5"/>
      <c r="V453" s="5"/>
    </row>
    <row r="454" spans="1:22" ht="15.75" x14ac:dyDescent="0.25">
      <c r="A454" s="5"/>
      <c r="B454" s="5"/>
      <c r="C454" s="193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191"/>
      <c r="U454" s="5"/>
      <c r="V454" s="5"/>
    </row>
    <row r="455" spans="1:22" ht="15.75" x14ac:dyDescent="0.25">
      <c r="A455" s="5"/>
      <c r="B455" s="5"/>
      <c r="C455" s="193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191"/>
      <c r="U455" s="5"/>
      <c r="V455" s="5"/>
    </row>
    <row r="456" spans="1:22" ht="15.75" x14ac:dyDescent="0.25">
      <c r="A456" s="5"/>
      <c r="B456" s="5"/>
      <c r="C456" s="193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191"/>
      <c r="U456" s="5"/>
      <c r="V456" s="5"/>
    </row>
    <row r="457" spans="1:22" ht="15.75" x14ac:dyDescent="0.25">
      <c r="A457" s="5"/>
      <c r="B457" s="5"/>
      <c r="C457" s="193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191"/>
      <c r="U457" s="5"/>
      <c r="V457" s="5"/>
    </row>
    <row r="458" spans="1:22" ht="15.75" x14ac:dyDescent="0.25">
      <c r="A458" s="5"/>
      <c r="B458" s="5"/>
      <c r="C458" s="193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191"/>
      <c r="U458" s="5"/>
      <c r="V458" s="5"/>
    </row>
    <row r="459" spans="1:22" ht="15.75" x14ac:dyDescent="0.25">
      <c r="A459" s="5"/>
      <c r="B459" s="5"/>
      <c r="C459" s="193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191"/>
      <c r="U459" s="5"/>
      <c r="V459" s="5"/>
    </row>
    <row r="460" spans="1:22" ht="15.75" x14ac:dyDescent="0.25">
      <c r="A460" s="5"/>
      <c r="B460" s="5"/>
      <c r="C460" s="193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191"/>
      <c r="U460" s="5"/>
      <c r="V460" s="5"/>
    </row>
    <row r="461" spans="1:22" ht="15.75" x14ac:dyDescent="0.25">
      <c r="A461" s="5"/>
      <c r="B461" s="5"/>
      <c r="C461" s="193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191"/>
      <c r="U461" s="5"/>
      <c r="V461" s="5"/>
    </row>
    <row r="462" spans="1:22" ht="15.75" x14ac:dyDescent="0.25">
      <c r="A462" s="5"/>
      <c r="B462" s="5"/>
      <c r="C462" s="193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191"/>
      <c r="U462" s="5"/>
      <c r="V462" s="5"/>
    </row>
    <row r="463" spans="1:22" ht="15.75" x14ac:dyDescent="0.25">
      <c r="A463" s="5"/>
      <c r="B463" s="5"/>
      <c r="C463" s="193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191"/>
      <c r="U463" s="5"/>
      <c r="V463" s="5"/>
    </row>
    <row r="464" spans="1:22" ht="15.75" x14ac:dyDescent="0.25">
      <c r="A464" s="5"/>
      <c r="B464" s="5"/>
      <c r="C464" s="193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191"/>
      <c r="U464" s="5"/>
      <c r="V464" s="5"/>
    </row>
    <row r="465" spans="1:22" ht="15.75" x14ac:dyDescent="0.25">
      <c r="A465" s="5"/>
      <c r="B465" s="5"/>
      <c r="C465" s="193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191"/>
      <c r="U465" s="5"/>
      <c r="V465" s="5"/>
    </row>
    <row r="466" spans="1:22" ht="15.75" x14ac:dyDescent="0.25">
      <c r="A466" s="5"/>
      <c r="B466" s="5"/>
      <c r="C466" s="193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191"/>
      <c r="U466" s="5"/>
      <c r="V466" s="5"/>
    </row>
    <row r="467" spans="1:22" ht="15.75" x14ac:dyDescent="0.25">
      <c r="A467" s="5"/>
      <c r="B467" s="5"/>
      <c r="C467" s="193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191"/>
      <c r="U467" s="5"/>
      <c r="V467" s="5"/>
    </row>
    <row r="468" spans="1:22" ht="15.75" x14ac:dyDescent="0.25">
      <c r="A468" s="5"/>
      <c r="B468" s="5"/>
      <c r="C468" s="193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191"/>
      <c r="U468" s="5"/>
      <c r="V468" s="5"/>
    </row>
    <row r="469" spans="1:22" ht="15.75" x14ac:dyDescent="0.25">
      <c r="A469" s="5"/>
      <c r="B469" s="5"/>
      <c r="C469" s="193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191"/>
      <c r="U469" s="5"/>
      <c r="V469" s="5"/>
    </row>
    <row r="470" spans="1:22" ht="15.75" x14ac:dyDescent="0.25">
      <c r="A470" s="5"/>
      <c r="B470" s="5"/>
      <c r="C470" s="193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191"/>
      <c r="U470" s="5"/>
      <c r="V470" s="5"/>
    </row>
    <row r="471" spans="1:22" ht="15.75" x14ac:dyDescent="0.25">
      <c r="A471" s="5"/>
      <c r="B471" s="5"/>
      <c r="C471" s="193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191"/>
      <c r="U471" s="5"/>
      <c r="V471" s="5"/>
    </row>
    <row r="472" spans="1:22" ht="15.75" x14ac:dyDescent="0.25">
      <c r="A472" s="5"/>
      <c r="B472" s="5"/>
      <c r="C472" s="193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191"/>
      <c r="U472" s="5"/>
      <c r="V472" s="5"/>
    </row>
    <row r="473" spans="1:22" ht="15.75" x14ac:dyDescent="0.25">
      <c r="A473" s="5"/>
      <c r="B473" s="5"/>
      <c r="C473" s="193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191"/>
      <c r="U473" s="5"/>
      <c r="V473" s="5"/>
    </row>
    <row r="474" spans="1:22" ht="15.75" x14ac:dyDescent="0.25">
      <c r="A474" s="5"/>
      <c r="B474" s="5"/>
      <c r="C474" s="193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191"/>
      <c r="U474" s="5"/>
      <c r="V474" s="5"/>
    </row>
    <row r="475" spans="1:22" ht="15.75" x14ac:dyDescent="0.25">
      <c r="A475" s="5"/>
      <c r="B475" s="5"/>
      <c r="C475" s="193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191"/>
      <c r="U475" s="5"/>
      <c r="V475" s="5"/>
    </row>
    <row r="476" spans="1:22" ht="15.75" x14ac:dyDescent="0.25">
      <c r="A476" s="5"/>
      <c r="B476" s="5"/>
      <c r="C476" s="193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191"/>
      <c r="U476" s="5"/>
      <c r="V476" s="5"/>
    </row>
    <row r="477" spans="1:22" ht="15.75" x14ac:dyDescent="0.25">
      <c r="A477" s="5"/>
      <c r="B477" s="5"/>
      <c r="C477" s="193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191"/>
      <c r="U477" s="5"/>
      <c r="V477" s="5"/>
    </row>
    <row r="478" spans="1:22" ht="15.75" x14ac:dyDescent="0.25">
      <c r="A478" s="5"/>
      <c r="B478" s="5"/>
      <c r="C478" s="193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191"/>
      <c r="U478" s="5"/>
      <c r="V478" s="5"/>
    </row>
    <row r="479" spans="1:22" ht="15.75" x14ac:dyDescent="0.25">
      <c r="A479" s="5"/>
      <c r="B479" s="5"/>
      <c r="C479" s="193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191"/>
      <c r="U479" s="5"/>
      <c r="V479" s="5"/>
    </row>
    <row r="480" spans="1:22" ht="15.75" x14ac:dyDescent="0.25">
      <c r="A480" s="5"/>
      <c r="B480" s="5"/>
      <c r="C480" s="193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191"/>
      <c r="U480" s="5"/>
      <c r="V480" s="5"/>
    </row>
    <row r="481" spans="1:22" ht="15.75" x14ac:dyDescent="0.25">
      <c r="A481" s="5"/>
      <c r="B481" s="5"/>
      <c r="C481" s="193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191"/>
      <c r="U481" s="5"/>
      <c r="V481" s="5"/>
    </row>
    <row r="482" spans="1:22" ht="15.75" x14ac:dyDescent="0.25">
      <c r="A482" s="5"/>
      <c r="B482" s="5"/>
      <c r="C482" s="193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191"/>
      <c r="U482" s="5"/>
      <c r="V482" s="5"/>
    </row>
    <row r="483" spans="1:22" ht="15.75" x14ac:dyDescent="0.25">
      <c r="A483" s="5"/>
      <c r="B483" s="5"/>
      <c r="C483" s="193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191"/>
      <c r="U483" s="5"/>
      <c r="V483" s="5"/>
    </row>
    <row r="484" spans="1:22" ht="15.75" x14ac:dyDescent="0.25">
      <c r="A484" s="5"/>
      <c r="B484" s="5"/>
      <c r="C484" s="193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191"/>
      <c r="U484" s="5"/>
      <c r="V484" s="5"/>
    </row>
    <row r="485" spans="1:22" ht="15.75" x14ac:dyDescent="0.25">
      <c r="A485" s="5"/>
      <c r="B485" s="5"/>
      <c r="C485" s="193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191"/>
      <c r="U485" s="5"/>
      <c r="V485" s="5"/>
    </row>
    <row r="486" spans="1:22" ht="15.75" x14ac:dyDescent="0.25">
      <c r="A486" s="5"/>
      <c r="B486" s="5"/>
      <c r="C486" s="193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191"/>
      <c r="U486" s="5"/>
      <c r="V486" s="5"/>
    </row>
    <row r="487" spans="1:22" ht="15.75" x14ac:dyDescent="0.25">
      <c r="A487" s="5"/>
      <c r="B487" s="5"/>
      <c r="C487" s="193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191"/>
      <c r="U487" s="5"/>
      <c r="V487" s="5"/>
    </row>
    <row r="488" spans="1:22" ht="15.75" x14ac:dyDescent="0.25">
      <c r="A488" s="5"/>
      <c r="B488" s="5"/>
      <c r="C488" s="193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191"/>
      <c r="U488" s="5"/>
      <c r="V488" s="5"/>
    </row>
    <row r="489" spans="1:22" ht="15.75" x14ac:dyDescent="0.25">
      <c r="A489" s="5"/>
      <c r="B489" s="5"/>
      <c r="C489" s="193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191"/>
      <c r="U489" s="5"/>
      <c r="V489" s="5"/>
    </row>
    <row r="490" spans="1:22" ht="15.75" x14ac:dyDescent="0.25">
      <c r="A490" s="5"/>
      <c r="B490" s="5"/>
      <c r="C490" s="193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191"/>
      <c r="U490" s="5"/>
      <c r="V490" s="5"/>
    </row>
    <row r="491" spans="1:22" ht="15.75" x14ac:dyDescent="0.25">
      <c r="A491" s="5"/>
      <c r="B491" s="5"/>
      <c r="C491" s="193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191"/>
      <c r="U491" s="5"/>
      <c r="V491" s="5"/>
    </row>
    <row r="492" spans="1:22" ht="15.75" x14ac:dyDescent="0.25">
      <c r="A492" s="5"/>
      <c r="B492" s="5"/>
      <c r="C492" s="193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191"/>
      <c r="U492" s="5"/>
      <c r="V492" s="5"/>
    </row>
    <row r="493" spans="1:22" ht="15.75" x14ac:dyDescent="0.25">
      <c r="A493" s="5"/>
      <c r="B493" s="5"/>
      <c r="C493" s="193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191"/>
      <c r="U493" s="5"/>
      <c r="V493" s="5"/>
    </row>
    <row r="494" spans="1:22" ht="15.75" x14ac:dyDescent="0.25">
      <c r="A494" s="5"/>
      <c r="B494" s="5"/>
      <c r="C494" s="193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191"/>
      <c r="U494" s="5"/>
      <c r="V494" s="5"/>
    </row>
    <row r="495" spans="1:22" ht="15.75" x14ac:dyDescent="0.25">
      <c r="A495" s="5"/>
      <c r="B495" s="5"/>
      <c r="C495" s="193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191"/>
      <c r="U495" s="5"/>
      <c r="V495" s="5"/>
    </row>
    <row r="496" spans="1:22" ht="15.75" x14ac:dyDescent="0.25">
      <c r="A496" s="5"/>
      <c r="B496" s="5"/>
      <c r="C496" s="193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191"/>
      <c r="U496" s="5"/>
      <c r="V496" s="5"/>
    </row>
    <row r="497" spans="1:22" ht="15.75" x14ac:dyDescent="0.25">
      <c r="A497" s="5"/>
      <c r="B497" s="5"/>
      <c r="C497" s="193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191"/>
      <c r="U497" s="5"/>
      <c r="V497" s="5"/>
    </row>
    <row r="498" spans="1:22" ht="15.75" x14ac:dyDescent="0.25">
      <c r="A498" s="5"/>
      <c r="B498" s="5"/>
      <c r="C498" s="193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191"/>
      <c r="U498" s="5"/>
      <c r="V498" s="5"/>
    </row>
    <row r="499" spans="1:22" ht="15.75" x14ac:dyDescent="0.25">
      <c r="A499" s="5"/>
      <c r="B499" s="5"/>
      <c r="C499" s="193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191"/>
      <c r="U499" s="5"/>
      <c r="V499" s="5"/>
    </row>
    <row r="500" spans="1:22" ht="15.75" x14ac:dyDescent="0.25">
      <c r="A500" s="5"/>
      <c r="B500" s="5"/>
      <c r="C500" s="193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191"/>
      <c r="U500" s="5"/>
      <c r="V500" s="5"/>
    </row>
    <row r="501" spans="1:22" ht="15.75" x14ac:dyDescent="0.25">
      <c r="A501" s="5"/>
      <c r="B501" s="5"/>
      <c r="C501" s="193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191"/>
      <c r="U501" s="5"/>
      <c r="V501" s="5"/>
    </row>
    <row r="502" spans="1:22" ht="15.75" x14ac:dyDescent="0.25">
      <c r="A502" s="5"/>
      <c r="B502" s="5"/>
      <c r="C502" s="193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191"/>
      <c r="U502" s="5"/>
      <c r="V502" s="5"/>
    </row>
    <row r="503" spans="1:22" ht="15.75" x14ac:dyDescent="0.25">
      <c r="A503" s="5"/>
      <c r="B503" s="5"/>
      <c r="C503" s="193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191"/>
      <c r="U503" s="5"/>
      <c r="V503" s="5"/>
    </row>
    <row r="504" spans="1:22" ht="15.75" x14ac:dyDescent="0.25">
      <c r="A504" s="5"/>
      <c r="B504" s="5"/>
      <c r="C504" s="193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191"/>
      <c r="U504" s="5"/>
      <c r="V504" s="5"/>
    </row>
    <row r="505" spans="1:22" ht="15.75" x14ac:dyDescent="0.25">
      <c r="A505" s="5"/>
      <c r="B505" s="5"/>
      <c r="C505" s="193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191"/>
      <c r="U505" s="5"/>
      <c r="V505" s="5"/>
    </row>
    <row r="506" spans="1:22" ht="15.75" x14ac:dyDescent="0.25">
      <c r="A506" s="5"/>
      <c r="B506" s="5"/>
      <c r="C506" s="193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191"/>
      <c r="U506" s="5"/>
      <c r="V506" s="5"/>
    </row>
    <row r="507" spans="1:22" ht="15.75" x14ac:dyDescent="0.25">
      <c r="A507" s="5"/>
      <c r="B507" s="5"/>
      <c r="C507" s="193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191"/>
      <c r="U507" s="5"/>
      <c r="V507" s="5"/>
    </row>
    <row r="508" spans="1:22" ht="15.75" x14ac:dyDescent="0.25">
      <c r="A508" s="5"/>
      <c r="B508" s="5"/>
      <c r="C508" s="193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191"/>
      <c r="U508" s="5"/>
      <c r="V508" s="5"/>
    </row>
    <row r="509" spans="1:22" ht="15.75" x14ac:dyDescent="0.25">
      <c r="A509" s="5"/>
      <c r="B509" s="5"/>
      <c r="C509" s="193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191"/>
      <c r="U509" s="5"/>
      <c r="V509" s="5"/>
    </row>
    <row r="510" spans="1:22" ht="15.75" x14ac:dyDescent="0.25">
      <c r="A510" s="5"/>
      <c r="B510" s="5"/>
      <c r="C510" s="193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191"/>
      <c r="U510" s="5"/>
      <c r="V510" s="5"/>
    </row>
    <row r="511" spans="1:22" ht="15.75" x14ac:dyDescent="0.25">
      <c r="A511" s="5"/>
      <c r="B511" s="5"/>
      <c r="C511" s="193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191"/>
      <c r="U511" s="5"/>
      <c r="V511" s="5"/>
    </row>
    <row r="512" spans="1:22" ht="15.75" x14ac:dyDescent="0.25">
      <c r="A512" s="5"/>
      <c r="B512" s="5"/>
      <c r="C512" s="193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191"/>
      <c r="U512" s="5"/>
      <c r="V512" s="5"/>
    </row>
    <row r="513" spans="1:22" ht="15.75" x14ac:dyDescent="0.25">
      <c r="A513" s="5"/>
      <c r="B513" s="5"/>
      <c r="C513" s="193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191"/>
      <c r="U513" s="5"/>
      <c r="V513" s="5"/>
    </row>
    <row r="514" spans="1:22" ht="15.75" x14ac:dyDescent="0.25">
      <c r="A514" s="5"/>
      <c r="B514" s="5"/>
      <c r="C514" s="193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191"/>
      <c r="U514" s="5"/>
      <c r="V514" s="5"/>
    </row>
    <row r="515" spans="1:22" ht="15.75" x14ac:dyDescent="0.25">
      <c r="A515" s="5"/>
      <c r="B515" s="5"/>
      <c r="C515" s="193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191"/>
      <c r="U515" s="5"/>
      <c r="V515" s="5"/>
    </row>
    <row r="516" spans="1:22" ht="15.75" x14ac:dyDescent="0.25">
      <c r="A516" s="5"/>
      <c r="B516" s="5"/>
      <c r="C516" s="193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191"/>
      <c r="U516" s="5"/>
      <c r="V516" s="5"/>
    </row>
    <row r="517" spans="1:22" ht="15.75" x14ac:dyDescent="0.25">
      <c r="A517" s="5"/>
      <c r="B517" s="5"/>
      <c r="C517" s="193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191"/>
      <c r="U517" s="5"/>
      <c r="V517" s="5"/>
    </row>
    <row r="518" spans="1:22" ht="15.75" x14ac:dyDescent="0.25">
      <c r="A518" s="5"/>
      <c r="B518" s="5"/>
      <c r="C518" s="193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191"/>
      <c r="U518" s="5"/>
      <c r="V518" s="5"/>
    </row>
    <row r="519" spans="1:22" ht="15.75" x14ac:dyDescent="0.25">
      <c r="A519" s="5"/>
      <c r="B519" s="5"/>
      <c r="C519" s="193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191"/>
      <c r="U519" s="5"/>
      <c r="V519" s="5"/>
    </row>
    <row r="520" spans="1:22" ht="15.75" x14ac:dyDescent="0.25">
      <c r="A520" s="5"/>
      <c r="B520" s="5"/>
      <c r="C520" s="193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191"/>
      <c r="U520" s="5"/>
      <c r="V520" s="5"/>
    </row>
    <row r="521" spans="1:22" ht="15.75" x14ac:dyDescent="0.25">
      <c r="A521" s="5"/>
      <c r="B521" s="5"/>
      <c r="C521" s="193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191"/>
      <c r="U521" s="5"/>
      <c r="V521" s="5"/>
    </row>
    <row r="522" spans="1:22" ht="15.75" x14ac:dyDescent="0.25">
      <c r="A522" s="5"/>
      <c r="B522" s="5"/>
      <c r="C522" s="193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191"/>
      <c r="U522" s="5"/>
      <c r="V522" s="5"/>
    </row>
    <row r="523" spans="1:22" ht="15.75" x14ac:dyDescent="0.25">
      <c r="A523" s="5"/>
      <c r="B523" s="5"/>
      <c r="C523" s="193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191"/>
      <c r="U523" s="5"/>
      <c r="V523" s="5"/>
    </row>
    <row r="524" spans="1:22" ht="15.75" x14ac:dyDescent="0.25">
      <c r="A524" s="5"/>
      <c r="B524" s="5"/>
      <c r="C524" s="193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191"/>
      <c r="U524" s="5"/>
      <c r="V524" s="5"/>
    </row>
    <row r="525" spans="1:22" ht="15.75" x14ac:dyDescent="0.25">
      <c r="A525" s="5"/>
      <c r="B525" s="5"/>
      <c r="C525" s="193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191"/>
      <c r="U525" s="5"/>
      <c r="V525" s="5"/>
    </row>
    <row r="526" spans="1:22" ht="15.75" x14ac:dyDescent="0.25">
      <c r="A526" s="5"/>
      <c r="B526" s="5"/>
      <c r="C526" s="193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191"/>
      <c r="U526" s="5"/>
      <c r="V526" s="5"/>
    </row>
    <row r="527" spans="1:22" ht="15.75" x14ac:dyDescent="0.25">
      <c r="A527" s="5"/>
      <c r="B527" s="5"/>
      <c r="C527" s="193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191"/>
      <c r="U527" s="5"/>
      <c r="V527" s="5"/>
    </row>
    <row r="528" spans="1:22" ht="15.75" x14ac:dyDescent="0.25">
      <c r="A528" s="5"/>
      <c r="B528" s="5"/>
      <c r="C528" s="193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191"/>
      <c r="U528" s="5"/>
      <c r="V528" s="5"/>
    </row>
    <row r="529" spans="1:22" ht="15.75" x14ac:dyDescent="0.25">
      <c r="A529" s="5"/>
      <c r="B529" s="5"/>
      <c r="C529" s="193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191"/>
      <c r="U529" s="5"/>
      <c r="V529" s="5"/>
    </row>
    <row r="530" spans="1:22" ht="15.75" x14ac:dyDescent="0.25">
      <c r="A530" s="5"/>
      <c r="B530" s="5"/>
      <c r="C530" s="193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191"/>
      <c r="U530" s="5"/>
      <c r="V530" s="5"/>
    </row>
    <row r="531" spans="1:22" ht="15.75" x14ac:dyDescent="0.25">
      <c r="A531" s="5"/>
      <c r="B531" s="5"/>
      <c r="C531" s="193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191"/>
      <c r="U531" s="5"/>
      <c r="V531" s="5"/>
    </row>
    <row r="532" spans="1:22" ht="15.75" x14ac:dyDescent="0.25">
      <c r="A532" s="5"/>
      <c r="B532" s="5"/>
      <c r="C532" s="193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191"/>
      <c r="U532" s="5"/>
      <c r="V532" s="5"/>
    </row>
    <row r="533" spans="1:22" ht="15.75" x14ac:dyDescent="0.25">
      <c r="A533" s="5"/>
      <c r="B533" s="5"/>
      <c r="C533" s="193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191"/>
      <c r="U533" s="5"/>
      <c r="V533" s="5"/>
    </row>
    <row r="534" spans="1:22" ht="15.75" x14ac:dyDescent="0.25">
      <c r="A534" s="5"/>
      <c r="B534" s="5"/>
      <c r="C534" s="193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191"/>
      <c r="U534" s="5"/>
      <c r="V534" s="5"/>
    </row>
    <row r="535" spans="1:22" ht="15.75" x14ac:dyDescent="0.25">
      <c r="A535" s="5"/>
      <c r="B535" s="5"/>
      <c r="C535" s="193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191"/>
      <c r="U535" s="5"/>
      <c r="V535" s="5"/>
    </row>
    <row r="536" spans="1:22" ht="15.75" x14ac:dyDescent="0.25">
      <c r="A536" s="5"/>
      <c r="B536" s="5"/>
      <c r="C536" s="193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191"/>
      <c r="U536" s="5"/>
      <c r="V536" s="5"/>
    </row>
    <row r="537" spans="1:22" ht="15.75" x14ac:dyDescent="0.25">
      <c r="A537" s="5"/>
      <c r="B537" s="5"/>
      <c r="C537" s="193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191"/>
      <c r="U537" s="5"/>
      <c r="V537" s="5"/>
    </row>
    <row r="538" spans="1:22" ht="15.75" x14ac:dyDescent="0.25">
      <c r="A538" s="5"/>
      <c r="B538" s="5"/>
      <c r="C538" s="193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191"/>
      <c r="U538" s="5"/>
      <c r="V538" s="5"/>
    </row>
    <row r="539" spans="1:22" ht="15.75" x14ac:dyDescent="0.25">
      <c r="A539" s="5"/>
      <c r="B539" s="5"/>
      <c r="C539" s="193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191"/>
      <c r="U539" s="5"/>
      <c r="V539" s="5"/>
    </row>
    <row r="540" spans="1:22" ht="15.75" x14ac:dyDescent="0.25">
      <c r="A540" s="5"/>
      <c r="B540" s="5"/>
      <c r="C540" s="193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191"/>
      <c r="U540" s="5"/>
      <c r="V540" s="5"/>
    </row>
    <row r="541" spans="1:22" ht="15.75" x14ac:dyDescent="0.25">
      <c r="A541" s="5"/>
      <c r="B541" s="5"/>
      <c r="C541" s="193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191"/>
      <c r="U541" s="5"/>
      <c r="V541" s="5"/>
    </row>
    <row r="542" spans="1:22" ht="15.75" x14ac:dyDescent="0.25">
      <c r="A542" s="5"/>
      <c r="B542" s="5"/>
      <c r="C542" s="193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191"/>
      <c r="U542" s="5"/>
      <c r="V542" s="5"/>
    </row>
    <row r="543" spans="1:22" ht="15.75" x14ac:dyDescent="0.25">
      <c r="A543" s="5"/>
      <c r="B543" s="5"/>
      <c r="C543" s="193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191"/>
      <c r="U543" s="5"/>
      <c r="V543" s="5"/>
    </row>
    <row r="544" spans="1:22" ht="15.75" x14ac:dyDescent="0.25">
      <c r="A544" s="5"/>
      <c r="B544" s="5"/>
      <c r="C544" s="193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191"/>
      <c r="U544" s="5"/>
      <c r="V544" s="5"/>
    </row>
    <row r="545" spans="1:22" ht="15.75" x14ac:dyDescent="0.25">
      <c r="A545" s="5"/>
      <c r="B545" s="5"/>
      <c r="C545" s="193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191"/>
      <c r="U545" s="5"/>
      <c r="V545" s="5"/>
    </row>
    <row r="546" spans="1:22" ht="15.75" x14ac:dyDescent="0.25">
      <c r="A546" s="5"/>
      <c r="B546" s="5"/>
      <c r="C546" s="193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191"/>
      <c r="U546" s="5"/>
      <c r="V546" s="5"/>
    </row>
    <row r="547" spans="1:22" ht="15.75" x14ac:dyDescent="0.25">
      <c r="A547" s="5"/>
      <c r="B547" s="5"/>
      <c r="C547" s="193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191"/>
      <c r="U547" s="5"/>
      <c r="V547" s="5"/>
    </row>
    <row r="548" spans="1:22" ht="15.75" x14ac:dyDescent="0.25">
      <c r="A548" s="5"/>
      <c r="B548" s="5"/>
      <c r="C548" s="193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191"/>
      <c r="U548" s="5"/>
      <c r="V548" s="5"/>
    </row>
    <row r="549" spans="1:22" ht="15.75" x14ac:dyDescent="0.25">
      <c r="A549" s="5"/>
      <c r="B549" s="5"/>
      <c r="C549" s="193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191"/>
      <c r="U549" s="5"/>
      <c r="V549" s="5"/>
    </row>
    <row r="550" spans="1:22" ht="15.75" x14ac:dyDescent="0.25">
      <c r="A550" s="5"/>
      <c r="B550" s="5"/>
      <c r="C550" s="193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191"/>
      <c r="U550" s="5"/>
      <c r="V550" s="5"/>
    </row>
    <row r="551" spans="1:22" ht="15.75" x14ac:dyDescent="0.25">
      <c r="A551" s="5"/>
      <c r="B551" s="5"/>
      <c r="C551" s="193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191"/>
      <c r="U551" s="5"/>
      <c r="V551" s="5"/>
    </row>
    <row r="552" spans="1:22" ht="15.75" x14ac:dyDescent="0.25">
      <c r="A552" s="5"/>
      <c r="B552" s="5"/>
      <c r="C552" s="193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191"/>
      <c r="U552" s="5"/>
      <c r="V552" s="5"/>
    </row>
    <row r="553" spans="1:22" ht="15.75" x14ac:dyDescent="0.25">
      <c r="A553" s="5"/>
      <c r="B553" s="5"/>
      <c r="C553" s="193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191"/>
      <c r="U553" s="5"/>
      <c r="V553" s="5"/>
    </row>
    <row r="554" spans="1:22" ht="15.75" x14ac:dyDescent="0.25">
      <c r="A554" s="5"/>
      <c r="B554" s="5"/>
      <c r="C554" s="193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191"/>
      <c r="U554" s="5"/>
      <c r="V554" s="5"/>
    </row>
    <row r="555" spans="1:22" ht="15.75" x14ac:dyDescent="0.25">
      <c r="A555" s="5"/>
      <c r="B555" s="5"/>
      <c r="C555" s="193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191"/>
      <c r="U555" s="5"/>
      <c r="V555" s="5"/>
    </row>
    <row r="556" spans="1:22" ht="15.75" x14ac:dyDescent="0.25">
      <c r="A556" s="5"/>
      <c r="B556" s="5"/>
      <c r="C556" s="193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191"/>
      <c r="U556" s="5"/>
      <c r="V556" s="5"/>
    </row>
    <row r="557" spans="1:22" ht="15.75" x14ac:dyDescent="0.25">
      <c r="A557" s="5"/>
      <c r="B557" s="5"/>
      <c r="C557" s="193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191"/>
      <c r="U557" s="5"/>
      <c r="V557" s="5"/>
    </row>
    <row r="558" spans="1:22" ht="15.75" x14ac:dyDescent="0.25">
      <c r="A558" s="5"/>
      <c r="B558" s="5"/>
      <c r="C558" s="193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191"/>
      <c r="U558" s="5"/>
      <c r="V558" s="5"/>
    </row>
    <row r="559" spans="1:22" ht="15.75" x14ac:dyDescent="0.25">
      <c r="A559" s="5"/>
      <c r="B559" s="5"/>
      <c r="C559" s="193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191"/>
      <c r="U559" s="5"/>
      <c r="V559" s="5"/>
    </row>
    <row r="560" spans="1:22" ht="15.75" x14ac:dyDescent="0.25">
      <c r="A560" s="5"/>
      <c r="B560" s="5"/>
      <c r="C560" s="193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191"/>
      <c r="U560" s="5"/>
      <c r="V560" s="5"/>
    </row>
    <row r="561" spans="1:22" ht="15.75" x14ac:dyDescent="0.25">
      <c r="A561" s="5"/>
      <c r="B561" s="5"/>
      <c r="C561" s="193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191"/>
      <c r="U561" s="5"/>
      <c r="V561" s="5"/>
    </row>
    <row r="562" spans="1:22" ht="15.75" x14ac:dyDescent="0.25">
      <c r="A562" s="5"/>
      <c r="B562" s="5"/>
      <c r="C562" s="193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191"/>
      <c r="U562" s="5"/>
      <c r="V562" s="5"/>
    </row>
    <row r="563" spans="1:22" ht="15.75" x14ac:dyDescent="0.25">
      <c r="A563" s="5"/>
      <c r="B563" s="5"/>
      <c r="C563" s="193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191"/>
      <c r="U563" s="5"/>
      <c r="V563" s="5"/>
    </row>
    <row r="564" spans="1:22" ht="15.75" x14ac:dyDescent="0.25">
      <c r="A564" s="5"/>
      <c r="B564" s="5"/>
      <c r="C564" s="193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191"/>
      <c r="U564" s="5"/>
      <c r="V564" s="5"/>
    </row>
    <row r="565" spans="1:22" ht="15.75" x14ac:dyDescent="0.25">
      <c r="A565" s="5"/>
      <c r="B565" s="5"/>
      <c r="C565" s="193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191"/>
      <c r="U565" s="5"/>
      <c r="V565" s="5"/>
    </row>
    <row r="566" spans="1:22" ht="15.75" x14ac:dyDescent="0.25">
      <c r="A566" s="5"/>
      <c r="B566" s="5"/>
      <c r="C566" s="193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191"/>
      <c r="U566" s="5"/>
      <c r="V566" s="5"/>
    </row>
    <row r="567" spans="1:22" ht="15.75" x14ac:dyDescent="0.25">
      <c r="A567" s="5"/>
      <c r="B567" s="5"/>
      <c r="C567" s="193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191"/>
      <c r="U567" s="5"/>
      <c r="V567" s="5"/>
    </row>
    <row r="568" spans="1:22" ht="15.75" x14ac:dyDescent="0.25">
      <c r="A568" s="5"/>
      <c r="B568" s="5"/>
      <c r="C568" s="193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191"/>
      <c r="U568" s="5"/>
      <c r="V568" s="5"/>
    </row>
    <row r="569" spans="1:22" ht="15.75" x14ac:dyDescent="0.25">
      <c r="A569" s="5"/>
      <c r="B569" s="5"/>
      <c r="C569" s="193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191"/>
      <c r="U569" s="5"/>
      <c r="V569" s="5"/>
    </row>
    <row r="570" spans="1:22" ht="15.75" x14ac:dyDescent="0.25">
      <c r="A570" s="5"/>
      <c r="B570" s="5"/>
      <c r="C570" s="193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191"/>
      <c r="U570" s="5"/>
      <c r="V570" s="5"/>
    </row>
    <row r="571" spans="1:22" ht="15.75" x14ac:dyDescent="0.25">
      <c r="A571" s="5"/>
      <c r="B571" s="5"/>
      <c r="C571" s="193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191"/>
      <c r="U571" s="5"/>
      <c r="V571" s="5"/>
    </row>
    <row r="572" spans="1:22" ht="15.75" x14ac:dyDescent="0.25">
      <c r="A572" s="5"/>
      <c r="B572" s="5"/>
      <c r="C572" s="193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191"/>
      <c r="U572" s="5"/>
      <c r="V572" s="5"/>
    </row>
    <row r="573" spans="1:22" ht="15.75" x14ac:dyDescent="0.25">
      <c r="A573" s="5"/>
      <c r="B573" s="5"/>
      <c r="C573" s="193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191"/>
      <c r="U573" s="5"/>
      <c r="V573" s="5"/>
    </row>
    <row r="574" spans="1:22" ht="15.75" x14ac:dyDescent="0.25">
      <c r="A574" s="5"/>
      <c r="B574" s="5"/>
      <c r="C574" s="193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191"/>
      <c r="U574" s="5"/>
      <c r="V574" s="5"/>
    </row>
    <row r="575" spans="1:22" ht="15.75" x14ac:dyDescent="0.25">
      <c r="A575" s="5"/>
      <c r="B575" s="5"/>
      <c r="C575" s="193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191"/>
      <c r="U575" s="5"/>
      <c r="V575" s="5"/>
    </row>
    <row r="576" spans="1:22" ht="15.75" x14ac:dyDescent="0.25">
      <c r="A576" s="5"/>
      <c r="B576" s="5"/>
      <c r="C576" s="193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191"/>
      <c r="U576" s="5"/>
      <c r="V576" s="5"/>
    </row>
    <row r="577" spans="1:22" ht="15.75" x14ac:dyDescent="0.25">
      <c r="A577" s="5"/>
      <c r="B577" s="5"/>
      <c r="C577" s="193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191"/>
      <c r="U577" s="5"/>
      <c r="V577" s="5"/>
    </row>
    <row r="578" spans="1:22" ht="15.75" x14ac:dyDescent="0.25">
      <c r="A578" s="5"/>
      <c r="B578" s="5"/>
      <c r="C578" s="193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191"/>
      <c r="U578" s="5"/>
      <c r="V578" s="5"/>
    </row>
    <row r="579" spans="1:22" ht="15.75" x14ac:dyDescent="0.25">
      <c r="A579" s="5"/>
      <c r="B579" s="5"/>
      <c r="C579" s="193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191"/>
      <c r="U579" s="5"/>
      <c r="V579" s="5"/>
    </row>
    <row r="580" spans="1:22" ht="15.75" x14ac:dyDescent="0.25">
      <c r="A580" s="5"/>
      <c r="B580" s="5"/>
      <c r="C580" s="193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191"/>
      <c r="U580" s="5"/>
      <c r="V580" s="5"/>
    </row>
    <row r="581" spans="1:22" ht="15.75" x14ac:dyDescent="0.25">
      <c r="A581" s="5"/>
      <c r="B581" s="5"/>
      <c r="C581" s="193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191"/>
      <c r="U581" s="5"/>
      <c r="V581" s="5"/>
    </row>
    <row r="582" spans="1:22" ht="15.75" x14ac:dyDescent="0.25">
      <c r="A582" s="5"/>
      <c r="B582" s="5"/>
      <c r="C582" s="193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191"/>
      <c r="U582" s="5"/>
      <c r="V582" s="5"/>
    </row>
    <row r="583" spans="1:22" ht="15.75" x14ac:dyDescent="0.25">
      <c r="A583" s="5"/>
      <c r="B583" s="5"/>
      <c r="C583" s="193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191"/>
      <c r="U583" s="5"/>
      <c r="V583" s="5"/>
    </row>
    <row r="584" spans="1:22" ht="15.75" x14ac:dyDescent="0.25">
      <c r="A584" s="5"/>
      <c r="B584" s="5"/>
      <c r="C584" s="193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191"/>
      <c r="U584" s="5"/>
      <c r="V584" s="5"/>
    </row>
    <row r="585" spans="1:22" ht="15.75" x14ac:dyDescent="0.25">
      <c r="A585" s="5"/>
      <c r="B585" s="5"/>
      <c r="C585" s="193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191"/>
      <c r="U585" s="5"/>
      <c r="V585" s="5"/>
    </row>
    <row r="586" spans="1:22" ht="15.75" x14ac:dyDescent="0.25">
      <c r="A586" s="5"/>
      <c r="B586" s="5"/>
      <c r="C586" s="193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191"/>
      <c r="U586" s="5"/>
      <c r="V586" s="5"/>
    </row>
    <row r="587" spans="1:22" ht="15.75" x14ac:dyDescent="0.25">
      <c r="A587" s="5"/>
      <c r="B587" s="5"/>
      <c r="C587" s="193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191"/>
      <c r="U587" s="5"/>
      <c r="V587" s="5"/>
    </row>
    <row r="588" spans="1:22" ht="15.75" x14ac:dyDescent="0.25">
      <c r="A588" s="5"/>
      <c r="B588" s="5"/>
      <c r="C588" s="193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191"/>
      <c r="U588" s="5"/>
      <c r="V588" s="5"/>
    </row>
    <row r="589" spans="1:22" ht="15.75" x14ac:dyDescent="0.25">
      <c r="A589" s="5"/>
      <c r="B589" s="5"/>
      <c r="C589" s="193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191"/>
      <c r="U589" s="5"/>
      <c r="V589" s="5"/>
    </row>
    <row r="590" spans="1:22" ht="15.75" x14ac:dyDescent="0.25">
      <c r="A590" s="5"/>
      <c r="B590" s="5"/>
      <c r="C590" s="193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191"/>
      <c r="U590" s="5"/>
      <c r="V590" s="5"/>
    </row>
    <row r="591" spans="1:22" ht="15.75" x14ac:dyDescent="0.25">
      <c r="A591" s="5"/>
      <c r="B591" s="5"/>
      <c r="C591" s="193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191"/>
      <c r="U591" s="5"/>
      <c r="V591" s="5"/>
    </row>
    <row r="592" spans="1:22" ht="15.75" x14ac:dyDescent="0.25">
      <c r="A592" s="5"/>
      <c r="B592" s="5"/>
      <c r="C592" s="193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191"/>
      <c r="U592" s="5"/>
      <c r="V592" s="5"/>
    </row>
    <row r="593" spans="1:22" ht="15.75" x14ac:dyDescent="0.25">
      <c r="A593" s="5"/>
      <c r="B593" s="5"/>
      <c r="C593" s="193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191"/>
      <c r="U593" s="5"/>
      <c r="V593" s="5"/>
    </row>
    <row r="594" spans="1:22" ht="15.75" x14ac:dyDescent="0.25">
      <c r="A594" s="5"/>
      <c r="B594" s="5"/>
      <c r="C594" s="193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191"/>
      <c r="U594" s="5"/>
      <c r="V594" s="5"/>
    </row>
  </sheetData>
  <mergeCells count="1">
    <mergeCell ref="C3:H3"/>
  </mergeCells>
  <printOptions horizontalCentered="1"/>
  <pageMargins left="0" right="0" top="0.25" bottom="0.25" header="0.3" footer="0.3"/>
  <pageSetup paperSize="5" scale="6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7846-6748-4FF3-BA7B-4C0C539D597C}">
  <sheetPr>
    <pageSetUpPr fitToPage="1"/>
  </sheetPr>
  <dimension ref="A2:I557"/>
  <sheetViews>
    <sheetView topLeftCell="A3" workbookViewId="0">
      <selection activeCell="G20" sqref="G2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118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1</v>
      </c>
    </row>
    <row r="6" spans="1:9" ht="16.5" thickBot="1" x14ac:dyDescent="0.3">
      <c r="A6" s="4"/>
      <c r="B6" s="28" t="s">
        <v>10</v>
      </c>
      <c r="C6" s="29">
        <f>SUM(C7:C8)</f>
        <v>167274.94278673679</v>
      </c>
      <c r="D6" s="29">
        <f>SUM(D7:D8)</f>
        <v>91750.59</v>
      </c>
      <c r="E6" s="29">
        <f>SUM(E7:E8)</f>
        <v>183501.18</v>
      </c>
      <c r="F6" s="29">
        <v>118642.67673540002</v>
      </c>
    </row>
    <row r="7" spans="1:9" ht="15.75" x14ac:dyDescent="0.25">
      <c r="A7" s="5"/>
      <c r="B7" s="26" t="s">
        <v>11</v>
      </c>
      <c r="C7" s="27">
        <v>129753.57023076784</v>
      </c>
      <c r="D7" s="27">
        <v>57805.78</v>
      </c>
      <c r="E7" s="27">
        <f t="shared" ref="E7:E8" si="0">D7*2</f>
        <v>115611.56</v>
      </c>
      <c r="F7" s="27">
        <v>93339.099600000016</v>
      </c>
    </row>
    <row r="8" spans="1:9" ht="24" thickBot="1" x14ac:dyDescent="0.4">
      <c r="A8" s="5"/>
      <c r="B8" s="30" t="s">
        <v>12</v>
      </c>
      <c r="C8" s="31">
        <v>37521.372555968948</v>
      </c>
      <c r="D8" s="31">
        <v>33944.81</v>
      </c>
      <c r="E8" s="27">
        <f t="shared" si="0"/>
        <v>67889.62</v>
      </c>
      <c r="F8" s="31">
        <v>25303.577135400003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SUM(C10:C13)</f>
        <v>14500</v>
      </c>
      <c r="D9" s="34">
        <f>SUM(D10:D13)</f>
        <v>5303.52</v>
      </c>
      <c r="E9" s="34">
        <f>SUM(E10:E13)</f>
        <v>10607.04</v>
      </c>
      <c r="F9" s="34">
        <v>14500</v>
      </c>
    </row>
    <row r="10" spans="1:9" ht="15.75" x14ac:dyDescent="0.25">
      <c r="A10" s="5"/>
      <c r="B10" s="24" t="s">
        <v>18</v>
      </c>
      <c r="C10" s="25">
        <v>1500</v>
      </c>
      <c r="D10" s="25">
        <v>827.64</v>
      </c>
      <c r="E10" s="27">
        <f t="shared" ref="E10:E16" si="1">D10*2</f>
        <v>1655.28</v>
      </c>
      <c r="F10" s="25">
        <v>1500</v>
      </c>
      <c r="G10" t="s">
        <v>119</v>
      </c>
    </row>
    <row r="11" spans="1:9" ht="15.75" x14ac:dyDescent="0.25">
      <c r="A11" s="5"/>
      <c r="B11" s="24" t="s">
        <v>20</v>
      </c>
      <c r="C11" s="25">
        <v>5000</v>
      </c>
      <c r="D11" s="25"/>
      <c r="E11" s="27">
        <f t="shared" si="1"/>
        <v>0</v>
      </c>
      <c r="F11" s="25">
        <v>5000</v>
      </c>
    </row>
    <row r="12" spans="1:9" ht="15.75" x14ac:dyDescent="0.25">
      <c r="A12" s="5"/>
      <c r="B12" s="24" t="s">
        <v>30</v>
      </c>
      <c r="C12" s="25">
        <v>2000</v>
      </c>
      <c r="D12" s="25">
        <v>1475.88</v>
      </c>
      <c r="E12" s="27">
        <f t="shared" si="1"/>
        <v>2951.76</v>
      </c>
      <c r="F12" s="25">
        <v>2000</v>
      </c>
    </row>
    <row r="13" spans="1:9" ht="16.5" thickBot="1" x14ac:dyDescent="0.3">
      <c r="A13" s="5"/>
      <c r="B13" s="24" t="s">
        <v>37</v>
      </c>
      <c r="C13" s="25">
        <v>6000</v>
      </c>
      <c r="D13" s="25">
        <v>3000</v>
      </c>
      <c r="E13" s="27">
        <f t="shared" si="1"/>
        <v>6000</v>
      </c>
      <c r="F13" s="25">
        <v>6000</v>
      </c>
      <c r="G13" t="s">
        <v>120</v>
      </c>
    </row>
    <row r="14" spans="1:9" ht="16.5" thickBot="1" x14ac:dyDescent="0.3">
      <c r="A14" s="4"/>
      <c r="B14" s="32" t="s">
        <v>41</v>
      </c>
      <c r="C14" s="33">
        <f t="shared" ref="C14:E14" si="2">SUM(C15:C16)</f>
        <v>500</v>
      </c>
      <c r="D14" s="33">
        <f t="shared" si="2"/>
        <v>130.82</v>
      </c>
      <c r="E14" s="33">
        <f t="shared" si="2"/>
        <v>261.64</v>
      </c>
      <c r="F14" s="34">
        <v>1500</v>
      </c>
    </row>
    <row r="15" spans="1:9" ht="15.75" x14ac:dyDescent="0.25">
      <c r="A15" s="5"/>
      <c r="B15" s="26" t="s">
        <v>42</v>
      </c>
      <c r="C15" s="27"/>
      <c r="D15" s="27"/>
      <c r="E15" s="27">
        <f t="shared" si="1"/>
        <v>0</v>
      </c>
      <c r="F15" s="27">
        <v>1000</v>
      </c>
      <c r="G15" t="s">
        <v>121</v>
      </c>
    </row>
    <row r="16" spans="1:9" ht="16.5" thickBot="1" x14ac:dyDescent="0.3">
      <c r="A16" s="5"/>
      <c r="B16" s="30" t="s">
        <v>43</v>
      </c>
      <c r="C16" s="31">
        <v>500</v>
      </c>
      <c r="D16" s="31">
        <v>130.82</v>
      </c>
      <c r="E16" s="27">
        <f t="shared" si="1"/>
        <v>261.64</v>
      </c>
      <c r="F16" s="31">
        <v>500</v>
      </c>
    </row>
    <row r="17" spans="1:6" ht="16.5" thickBot="1" x14ac:dyDescent="0.3">
      <c r="A17" s="5"/>
      <c r="B17" s="17" t="s">
        <v>50</v>
      </c>
      <c r="C17" s="18">
        <f>C6+C9+C14</f>
        <v>182274.94278673679</v>
      </c>
      <c r="D17" s="18">
        <f>D6+D9+D14</f>
        <v>97184.930000000008</v>
      </c>
      <c r="E17" s="18">
        <f>E6+E9+E14</f>
        <v>194369.86000000002</v>
      </c>
      <c r="F17" s="18">
        <f>F6+F9+F14</f>
        <v>134642.67673540002</v>
      </c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</sheetData>
  <autoFilter ref="B5:F17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403-45A7-4983-846A-CEF472FAD267}">
  <sheetPr>
    <pageSetUpPr fitToPage="1"/>
  </sheetPr>
  <dimension ref="A2:I563"/>
  <sheetViews>
    <sheetView topLeftCell="A3" workbookViewId="0">
      <selection activeCell="K22" sqref="K22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8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2</v>
      </c>
    </row>
    <row r="6" spans="1:9" ht="16.5" thickBot="1" x14ac:dyDescent="0.3">
      <c r="A6" s="4"/>
      <c r="B6" s="28" t="s">
        <v>10</v>
      </c>
      <c r="C6" s="29">
        <f>SUM(C7:C8)</f>
        <v>255958.31999999998</v>
      </c>
      <c r="D6" s="29">
        <f>SUM(D7:D8)</f>
        <v>144700.51</v>
      </c>
      <c r="E6" s="29">
        <f>SUM(E7:E8)</f>
        <v>289401.02</v>
      </c>
      <c r="F6" s="29">
        <v>210383.65344599291</v>
      </c>
    </row>
    <row r="7" spans="1:9" ht="15.75" x14ac:dyDescent="0.25">
      <c r="A7" s="5"/>
      <c r="B7" s="26" t="s">
        <v>11</v>
      </c>
      <c r="C7" s="27">
        <v>186557.43</v>
      </c>
      <c r="D7" s="27">
        <v>96685.92</v>
      </c>
      <c r="E7" s="27">
        <f t="shared" ref="E7:E8" si="0">D7*2</f>
        <v>193371.84</v>
      </c>
      <c r="F7" s="27">
        <v>165545.03228648283</v>
      </c>
    </row>
    <row r="8" spans="1:9" ht="24" thickBot="1" x14ac:dyDescent="0.4">
      <c r="A8" s="5"/>
      <c r="B8" s="30" t="s">
        <v>12</v>
      </c>
      <c r="C8" s="31">
        <v>69400.889999999985</v>
      </c>
      <c r="D8" s="31">
        <v>48014.59</v>
      </c>
      <c r="E8" s="27">
        <f t="shared" si="0"/>
        <v>96029.18</v>
      </c>
      <c r="F8" s="31">
        <v>44838.621159510061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SUM(C10:C19)</f>
        <v>109676</v>
      </c>
      <c r="D9" s="34">
        <f>SUM(D10:D19)</f>
        <v>67995.63</v>
      </c>
      <c r="E9" s="34">
        <f>SUM(E10:E19)</f>
        <v>135991.26</v>
      </c>
      <c r="F9" s="34">
        <v>114676</v>
      </c>
    </row>
    <row r="10" spans="1:9" ht="15.75" x14ac:dyDescent="0.25">
      <c r="A10" s="5"/>
      <c r="B10" s="24" t="s">
        <v>18</v>
      </c>
      <c r="C10" s="25">
        <v>156</v>
      </c>
      <c r="D10" s="25">
        <v>155.88</v>
      </c>
      <c r="E10" s="27">
        <f t="shared" ref="E10:E22" si="1">D10*2</f>
        <v>311.76</v>
      </c>
      <c r="F10" s="25">
        <v>156</v>
      </c>
      <c r="G10" t="s">
        <v>107</v>
      </c>
    </row>
    <row r="11" spans="1:9" ht="15.75" x14ac:dyDescent="0.25">
      <c r="A11" s="5"/>
      <c r="B11" s="24" t="s">
        <v>26</v>
      </c>
      <c r="C11" s="25">
        <v>5</v>
      </c>
      <c r="D11" s="25"/>
      <c r="E11" s="27">
        <f t="shared" si="1"/>
        <v>0</v>
      </c>
      <c r="F11" s="25">
        <v>5</v>
      </c>
    </row>
    <row r="12" spans="1:9" ht="15.75" x14ac:dyDescent="0.25">
      <c r="A12" s="5"/>
      <c r="B12" s="24" t="s">
        <v>27</v>
      </c>
      <c r="C12" s="25"/>
      <c r="D12" s="25"/>
      <c r="E12" s="27">
        <f t="shared" si="1"/>
        <v>0</v>
      </c>
      <c r="F12" s="25">
        <v>15</v>
      </c>
    </row>
    <row r="13" spans="1:9" ht="15.75" x14ac:dyDescent="0.25">
      <c r="A13" s="5"/>
      <c r="B13" s="24" t="s">
        <v>28</v>
      </c>
      <c r="C13" s="25">
        <v>250</v>
      </c>
      <c r="D13" s="25"/>
      <c r="E13" s="27">
        <f t="shared" si="1"/>
        <v>0</v>
      </c>
      <c r="F13" s="25">
        <v>250</v>
      </c>
    </row>
    <row r="14" spans="1:9" ht="15.75" x14ac:dyDescent="0.25">
      <c r="A14" s="5"/>
      <c r="B14" s="24" t="s">
        <v>29</v>
      </c>
      <c r="C14" s="25">
        <v>15</v>
      </c>
      <c r="D14" s="25">
        <v>2.38</v>
      </c>
      <c r="E14" s="27">
        <f t="shared" si="1"/>
        <v>4.76</v>
      </c>
      <c r="F14" s="25"/>
    </row>
    <row r="15" spans="1:9" ht="15.75" x14ac:dyDescent="0.25">
      <c r="A15" s="5"/>
      <c r="B15" s="24" t="s">
        <v>30</v>
      </c>
      <c r="C15" s="25"/>
      <c r="D15" s="25">
        <v>1114.56</v>
      </c>
      <c r="E15" s="27">
        <f t="shared" si="1"/>
        <v>2229.12</v>
      </c>
      <c r="F15" s="25">
        <v>4000</v>
      </c>
    </row>
    <row r="16" spans="1:9" ht="15.75" x14ac:dyDescent="0.25">
      <c r="A16" s="5"/>
      <c r="B16" s="24" t="s">
        <v>32</v>
      </c>
      <c r="C16" s="25">
        <v>65000</v>
      </c>
      <c r="D16" s="25">
        <v>42154.81</v>
      </c>
      <c r="E16" s="27">
        <f t="shared" si="1"/>
        <v>84309.62</v>
      </c>
      <c r="F16" s="25">
        <v>70000</v>
      </c>
      <c r="G16" t="s">
        <v>108</v>
      </c>
    </row>
    <row r="17" spans="1:7" ht="15.75" x14ac:dyDescent="0.25">
      <c r="A17" s="5"/>
      <c r="B17" s="24" t="s">
        <v>34</v>
      </c>
      <c r="C17" s="25">
        <v>40000</v>
      </c>
      <c r="D17" s="25">
        <v>24568</v>
      </c>
      <c r="E17" s="27">
        <f t="shared" si="1"/>
        <v>49136</v>
      </c>
      <c r="F17" s="25">
        <v>40000</v>
      </c>
      <c r="G17" t="s">
        <v>109</v>
      </c>
    </row>
    <row r="18" spans="1:7" ht="15.75" x14ac:dyDescent="0.25">
      <c r="A18" s="5"/>
      <c r="B18" s="24" t="s">
        <v>36</v>
      </c>
      <c r="C18" s="25">
        <v>4000</v>
      </c>
      <c r="D18" s="25"/>
      <c r="E18" s="27">
        <f t="shared" si="1"/>
        <v>0</v>
      </c>
      <c r="F18" s="25">
        <v>250</v>
      </c>
    </row>
    <row r="19" spans="1:7" ht="16.5" thickBot="1" x14ac:dyDescent="0.3">
      <c r="A19" s="5"/>
      <c r="B19" s="24" t="s">
        <v>37</v>
      </c>
      <c r="C19" s="25">
        <v>250</v>
      </c>
      <c r="D19" s="25"/>
      <c r="E19" s="27">
        <f t="shared" si="1"/>
        <v>0</v>
      </c>
      <c r="F19" s="25"/>
    </row>
    <row r="20" spans="1:7" ht="16.5" thickBot="1" x14ac:dyDescent="0.3">
      <c r="A20" s="4"/>
      <c r="B20" s="32" t="s">
        <v>41</v>
      </c>
      <c r="C20" s="33">
        <f t="shared" ref="C20:E20" si="2">SUM(C21:C22)</f>
        <v>7000</v>
      </c>
      <c r="D20" s="33">
        <f t="shared" si="2"/>
        <v>0</v>
      </c>
      <c r="E20" s="33">
        <f t="shared" si="2"/>
        <v>0</v>
      </c>
      <c r="F20" s="34">
        <v>12000</v>
      </c>
    </row>
    <row r="21" spans="1:7" ht="15.75" x14ac:dyDescent="0.25">
      <c r="A21" s="5"/>
      <c r="B21" s="26" t="s">
        <v>42</v>
      </c>
      <c r="C21" s="27">
        <v>3000</v>
      </c>
      <c r="D21" s="27"/>
      <c r="E21" s="27">
        <f t="shared" si="1"/>
        <v>0</v>
      </c>
      <c r="F21" s="27">
        <v>10000</v>
      </c>
      <c r="G21" t="s">
        <v>110</v>
      </c>
    </row>
    <row r="22" spans="1:7" ht="16.5" thickBot="1" x14ac:dyDescent="0.3">
      <c r="A22" s="5"/>
      <c r="B22" s="30" t="s">
        <v>43</v>
      </c>
      <c r="C22" s="31">
        <v>4000</v>
      </c>
      <c r="D22" s="31"/>
      <c r="E22" s="27">
        <f t="shared" si="1"/>
        <v>0</v>
      </c>
      <c r="F22" s="31">
        <v>2000</v>
      </c>
    </row>
    <row r="23" spans="1:7" ht="16.5" thickBot="1" x14ac:dyDescent="0.3">
      <c r="A23" s="5"/>
      <c r="B23" s="17" t="s">
        <v>50</v>
      </c>
      <c r="C23" s="18">
        <f>C6+C9+C20</f>
        <v>372634.31999999995</v>
      </c>
      <c r="D23" s="18">
        <f>D6+D9+D20</f>
        <v>212696.14</v>
      </c>
      <c r="E23" s="18">
        <f>E6+E9+E20</f>
        <v>425392.28</v>
      </c>
      <c r="F23" s="18">
        <f>F6+F9+F20</f>
        <v>337059.65344599291</v>
      </c>
    </row>
    <row r="24" spans="1:7" ht="15.75" x14ac:dyDescent="0.25">
      <c r="A24" s="5"/>
      <c r="B24" s="5"/>
      <c r="C24" s="13"/>
      <c r="D24" s="13"/>
      <c r="E24" s="13"/>
      <c r="F24" s="14"/>
    </row>
    <row r="25" spans="1:7" ht="15.75" x14ac:dyDescent="0.25">
      <c r="A25" s="5"/>
      <c r="B25" s="5"/>
      <c r="C25" s="13"/>
      <c r="D25" s="13"/>
      <c r="E25" s="13">
        <f>E23/2</f>
        <v>212696.14</v>
      </c>
      <c r="F25" s="14"/>
    </row>
    <row r="26" spans="1:7" ht="15.75" x14ac:dyDescent="0.25">
      <c r="A26" s="5"/>
      <c r="B26" s="5"/>
      <c r="C26" s="13"/>
      <c r="D26" s="13"/>
      <c r="E26" s="13"/>
      <c r="F26" s="14"/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</sheetData>
  <autoFilter ref="B5:F23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15B3-238B-402B-AEA6-CD7C28B6993A}">
  <sheetPr>
    <pageSetUpPr fitToPage="1"/>
  </sheetPr>
  <dimension ref="A2:I570"/>
  <sheetViews>
    <sheetView topLeftCell="A5" workbookViewId="0">
      <selection activeCell="I29" sqref="I29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111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2</v>
      </c>
    </row>
    <row r="6" spans="1:9" ht="16.5" thickBot="1" x14ac:dyDescent="0.3">
      <c r="A6" s="4"/>
      <c r="B6" s="28" t="s">
        <v>10</v>
      </c>
      <c r="C6" s="29">
        <f>SUM(C7:C8)</f>
        <v>495876.67349289497</v>
      </c>
      <c r="D6" s="29">
        <f>SUM(D7:D8)</f>
        <v>249743.33000000002</v>
      </c>
      <c r="E6" s="29">
        <f>SUM(E7:E8)</f>
        <v>499486.66000000003</v>
      </c>
      <c r="F6" s="29">
        <v>367100.72270076111</v>
      </c>
    </row>
    <row r="7" spans="1:9" ht="15.75" x14ac:dyDescent="0.25">
      <c r="A7" s="5"/>
      <c r="B7" s="26" t="s">
        <v>11</v>
      </c>
      <c r="C7" s="27">
        <v>369999.45763715619</v>
      </c>
      <c r="D7" s="27">
        <v>161673.89000000001</v>
      </c>
      <c r="E7" s="27">
        <f t="shared" ref="E7:E8" si="0">D7*2</f>
        <v>323347.78000000003</v>
      </c>
      <c r="F7" s="27">
        <v>300017.07096470712</v>
      </c>
    </row>
    <row r="8" spans="1:9" ht="24" thickBot="1" x14ac:dyDescent="0.4">
      <c r="A8" s="5"/>
      <c r="B8" s="30" t="s">
        <v>12</v>
      </c>
      <c r="C8" s="31">
        <v>125877.21585573876</v>
      </c>
      <c r="D8" s="31">
        <v>88069.440000000002</v>
      </c>
      <c r="E8" s="27">
        <f t="shared" si="0"/>
        <v>176138.88</v>
      </c>
      <c r="F8" s="31">
        <v>67083.651736054002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SUM(C10:C26)</f>
        <v>199500</v>
      </c>
      <c r="D9" s="34">
        <f>SUM(D10:D26)</f>
        <v>93614.27</v>
      </c>
      <c r="E9" s="34">
        <f>SUM(E10:E26)</f>
        <v>187228.54</v>
      </c>
      <c r="F9" s="34">
        <f>SUM(F10:F26)</f>
        <v>203700</v>
      </c>
    </row>
    <row r="10" spans="1:9" ht="15.75" x14ac:dyDescent="0.25">
      <c r="A10" s="5"/>
      <c r="B10" s="26" t="s">
        <v>14</v>
      </c>
      <c r="C10" s="27">
        <v>5000</v>
      </c>
      <c r="D10" s="27"/>
      <c r="E10" s="27">
        <f>D10*2</f>
        <v>0</v>
      </c>
      <c r="F10" s="27">
        <v>5000</v>
      </c>
    </row>
    <row r="11" spans="1:9" ht="15.75" x14ac:dyDescent="0.25">
      <c r="A11" s="5"/>
      <c r="B11" s="24" t="s">
        <v>17</v>
      </c>
      <c r="C11" s="25">
        <v>3000</v>
      </c>
      <c r="D11" s="25">
        <v>33926.03</v>
      </c>
      <c r="E11" s="27">
        <f t="shared" ref="E11:E29" si="1">D11*2</f>
        <v>67852.06</v>
      </c>
      <c r="F11" s="25">
        <v>3000</v>
      </c>
      <c r="G11" t="s">
        <v>112</v>
      </c>
    </row>
    <row r="12" spans="1:9" ht="15.75" x14ac:dyDescent="0.25">
      <c r="A12" s="5"/>
      <c r="B12" s="24" t="s">
        <v>18</v>
      </c>
      <c r="C12" s="25">
        <v>16500</v>
      </c>
      <c r="D12" s="25">
        <v>9452.2800000000007</v>
      </c>
      <c r="E12" s="27">
        <f t="shared" si="1"/>
        <v>18904.560000000001</v>
      </c>
      <c r="F12" s="25">
        <v>20000</v>
      </c>
      <c r="G12" t="s">
        <v>113</v>
      </c>
    </row>
    <row r="13" spans="1:9" ht="15.75" x14ac:dyDescent="0.25">
      <c r="A13" s="5"/>
      <c r="B13" s="24" t="s">
        <v>19</v>
      </c>
      <c r="C13" s="25">
        <v>19650</v>
      </c>
      <c r="D13" s="25">
        <v>10222.57</v>
      </c>
      <c r="E13" s="27">
        <f t="shared" si="1"/>
        <v>20445.14</v>
      </c>
      <c r="F13" s="25">
        <v>20000</v>
      </c>
      <c r="G13" t="s">
        <v>114</v>
      </c>
    </row>
    <row r="14" spans="1:9" ht="15.75" x14ac:dyDescent="0.25">
      <c r="A14" s="5"/>
      <c r="B14" s="24" t="s">
        <v>22</v>
      </c>
      <c r="C14" s="25">
        <v>5000</v>
      </c>
      <c r="D14" s="25"/>
      <c r="E14" s="27">
        <f t="shared" si="1"/>
        <v>0</v>
      </c>
      <c r="F14" s="25">
        <v>2500</v>
      </c>
    </row>
    <row r="15" spans="1:9" ht="15.75" x14ac:dyDescent="0.25">
      <c r="A15" s="5"/>
      <c r="B15" s="24" t="s">
        <v>24</v>
      </c>
      <c r="C15" s="25">
        <v>4000</v>
      </c>
      <c r="D15" s="25">
        <v>859.1</v>
      </c>
      <c r="E15" s="27">
        <f t="shared" si="1"/>
        <v>1718.2</v>
      </c>
      <c r="F15" s="25">
        <v>2000</v>
      </c>
    </row>
    <row r="16" spans="1:9" ht="15.75" x14ac:dyDescent="0.25">
      <c r="A16" s="5"/>
      <c r="B16" s="24" t="s">
        <v>25</v>
      </c>
      <c r="C16" s="25">
        <v>10000</v>
      </c>
      <c r="D16" s="25"/>
      <c r="E16" s="27">
        <f t="shared" si="1"/>
        <v>0</v>
      </c>
      <c r="F16" s="25">
        <v>10000</v>
      </c>
      <c r="G16" t="s">
        <v>115</v>
      </c>
    </row>
    <row r="17" spans="1:7" ht="15.75" x14ac:dyDescent="0.25">
      <c r="A17" s="5"/>
      <c r="B17" s="24" t="s">
        <v>28</v>
      </c>
      <c r="C17" s="25">
        <v>2000</v>
      </c>
      <c r="D17" s="25"/>
      <c r="E17" s="27">
        <f t="shared" si="1"/>
        <v>0</v>
      </c>
      <c r="F17" s="25">
        <v>1000</v>
      </c>
    </row>
    <row r="18" spans="1:7" ht="15.75" x14ac:dyDescent="0.25">
      <c r="A18" s="5"/>
      <c r="B18" s="24" t="s">
        <v>29</v>
      </c>
      <c r="C18" s="25">
        <v>1000</v>
      </c>
      <c r="D18" s="25">
        <v>243.07</v>
      </c>
      <c r="E18" s="27">
        <f t="shared" si="1"/>
        <v>486.14</v>
      </c>
      <c r="F18" s="25">
        <v>500</v>
      </c>
    </row>
    <row r="19" spans="1:7" ht="15.75" x14ac:dyDescent="0.25">
      <c r="A19" s="5"/>
      <c r="B19" s="24" t="s">
        <v>30</v>
      </c>
      <c r="C19" s="25">
        <v>1500</v>
      </c>
      <c r="D19" s="25">
        <v>1155.19</v>
      </c>
      <c r="E19" s="27">
        <f t="shared" si="1"/>
        <v>2310.38</v>
      </c>
      <c r="F19" s="25">
        <v>1500</v>
      </c>
    </row>
    <row r="20" spans="1:7" ht="15.75" x14ac:dyDescent="0.25">
      <c r="A20" s="5"/>
      <c r="B20" s="24" t="s">
        <v>31</v>
      </c>
      <c r="C20" s="25">
        <v>500</v>
      </c>
      <c r="D20" s="25">
        <v>155.15</v>
      </c>
      <c r="E20" s="27">
        <f t="shared" si="1"/>
        <v>310.3</v>
      </c>
      <c r="F20" s="25">
        <v>500</v>
      </c>
    </row>
    <row r="21" spans="1:7" ht="15.75" x14ac:dyDescent="0.25">
      <c r="A21" s="5"/>
      <c r="B21" s="24" t="s">
        <v>34</v>
      </c>
      <c r="C21" s="25">
        <v>35000</v>
      </c>
      <c r="D21" s="25"/>
      <c r="E21" s="27">
        <f t="shared" si="1"/>
        <v>0</v>
      </c>
      <c r="F21" s="25">
        <v>35000</v>
      </c>
      <c r="G21" t="s">
        <v>116</v>
      </c>
    </row>
    <row r="22" spans="1:7" ht="15.75" x14ac:dyDescent="0.25">
      <c r="A22" s="5"/>
      <c r="B22" s="24" t="s">
        <v>35</v>
      </c>
      <c r="C22" s="25">
        <v>1500</v>
      </c>
      <c r="D22" s="25"/>
      <c r="E22" s="27">
        <f t="shared" si="1"/>
        <v>0</v>
      </c>
      <c r="F22" s="25">
        <v>1500</v>
      </c>
    </row>
    <row r="23" spans="1:7" ht="15.75" x14ac:dyDescent="0.25">
      <c r="A23" s="5"/>
      <c r="B23" s="24" t="s">
        <v>36</v>
      </c>
      <c r="C23" s="25">
        <v>500</v>
      </c>
      <c r="D23" s="25"/>
      <c r="E23" s="27">
        <f t="shared" si="1"/>
        <v>0</v>
      </c>
      <c r="F23" s="25">
        <v>300</v>
      </c>
    </row>
    <row r="24" spans="1:7" ht="15.75" x14ac:dyDescent="0.25">
      <c r="A24" s="5"/>
      <c r="B24" s="24" t="s">
        <v>37</v>
      </c>
      <c r="C24" s="25">
        <v>63150</v>
      </c>
      <c r="D24" s="25">
        <v>30719.43</v>
      </c>
      <c r="E24" s="27">
        <f t="shared" si="1"/>
        <v>61438.86</v>
      </c>
      <c r="F24" s="25">
        <v>70000</v>
      </c>
      <c r="G24" t="s">
        <v>309</v>
      </c>
    </row>
    <row r="25" spans="1:7" ht="15.75" x14ac:dyDescent="0.25">
      <c r="A25" s="5"/>
      <c r="B25" s="24" t="s">
        <v>38</v>
      </c>
      <c r="C25" s="25">
        <v>30000</v>
      </c>
      <c r="D25" s="25">
        <v>6459</v>
      </c>
      <c r="E25" s="27">
        <f t="shared" si="1"/>
        <v>12918</v>
      </c>
      <c r="F25" s="25">
        <v>30000</v>
      </c>
      <c r="G25" t="s">
        <v>117</v>
      </c>
    </row>
    <row r="26" spans="1:7" ht="16.5" thickBot="1" x14ac:dyDescent="0.3">
      <c r="A26" s="5"/>
      <c r="B26" s="24" t="s">
        <v>40</v>
      </c>
      <c r="C26" s="25">
        <v>1200</v>
      </c>
      <c r="D26" s="25">
        <v>422.45</v>
      </c>
      <c r="E26" s="27">
        <f t="shared" si="1"/>
        <v>844.9</v>
      </c>
      <c r="F26" s="25">
        <v>900</v>
      </c>
    </row>
    <row r="27" spans="1:7" ht="16.5" thickBot="1" x14ac:dyDescent="0.3">
      <c r="A27" s="4"/>
      <c r="B27" s="32" t="s">
        <v>41</v>
      </c>
      <c r="C27" s="33">
        <f t="shared" ref="C27:E27" si="2">SUM(C28:C29)</f>
        <v>18000</v>
      </c>
      <c r="D27" s="33">
        <f t="shared" si="2"/>
        <v>579.62</v>
      </c>
      <c r="E27" s="33">
        <f t="shared" si="2"/>
        <v>1159.24</v>
      </c>
      <c r="F27" s="34">
        <v>16000</v>
      </c>
    </row>
    <row r="28" spans="1:7" ht="15.75" x14ac:dyDescent="0.25">
      <c r="A28" s="5"/>
      <c r="B28" s="26" t="s">
        <v>42</v>
      </c>
      <c r="C28" s="27">
        <v>12000</v>
      </c>
      <c r="D28" s="27">
        <v>632.74</v>
      </c>
      <c r="E28" s="27">
        <f t="shared" si="1"/>
        <v>1265.48</v>
      </c>
      <c r="F28" s="27">
        <v>10000</v>
      </c>
    </row>
    <row r="29" spans="1:7" ht="16.5" thickBot="1" x14ac:dyDescent="0.3">
      <c r="A29" s="5"/>
      <c r="B29" s="30" t="s">
        <v>43</v>
      </c>
      <c r="C29" s="31">
        <v>6000</v>
      </c>
      <c r="D29" s="31">
        <v>-53.12</v>
      </c>
      <c r="E29" s="27">
        <f t="shared" si="1"/>
        <v>-106.24</v>
      </c>
      <c r="F29" s="31">
        <v>6000</v>
      </c>
    </row>
    <row r="30" spans="1:7" ht="16.5" thickBot="1" x14ac:dyDescent="0.3">
      <c r="A30" s="5"/>
      <c r="B30" s="17" t="s">
        <v>50</v>
      </c>
      <c r="C30" s="18">
        <f>C6+C9+C27</f>
        <v>713376.67349289497</v>
      </c>
      <c r="D30" s="18">
        <f>D6+D9+D27</f>
        <v>343937.22000000003</v>
      </c>
      <c r="E30" s="18">
        <f>E6+E9+E27</f>
        <v>687874.44000000006</v>
      </c>
      <c r="F30" s="18">
        <f>F6+F9+F27</f>
        <v>586800.72270076117</v>
      </c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4"/>
    </row>
    <row r="277" spans="1:6" ht="15.75" x14ac:dyDescent="0.25">
      <c r="A277" s="5"/>
      <c r="B277" s="5"/>
      <c r="C277" s="13"/>
      <c r="D277" s="13"/>
      <c r="E277" s="13"/>
      <c r="F277" s="14"/>
    </row>
    <row r="278" spans="1:6" ht="15.75" x14ac:dyDescent="0.25">
      <c r="A278" s="5"/>
      <c r="B278" s="5"/>
      <c r="C278" s="13"/>
      <c r="D278" s="13"/>
      <c r="E278" s="13"/>
      <c r="F278" s="14"/>
    </row>
    <row r="279" spans="1:6" ht="15.75" x14ac:dyDescent="0.25">
      <c r="A279" s="5"/>
      <c r="B279" s="5"/>
      <c r="C279" s="13"/>
      <c r="D279" s="13"/>
      <c r="E279" s="13"/>
      <c r="F279" s="14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  <row r="567" spans="1:6" ht="15.75" x14ac:dyDescent="0.25">
      <c r="A567" s="5"/>
      <c r="B567" s="5"/>
      <c r="C567" s="13"/>
      <c r="D567" s="13"/>
      <c r="E567" s="13"/>
      <c r="F567" s="13"/>
    </row>
    <row r="568" spans="1:6" ht="15.75" x14ac:dyDescent="0.25">
      <c r="A568" s="5"/>
      <c r="B568" s="5"/>
      <c r="C568" s="13"/>
      <c r="D568" s="13"/>
      <c r="E568" s="13"/>
      <c r="F568" s="13"/>
    </row>
    <row r="569" spans="1:6" ht="15.75" x14ac:dyDescent="0.25">
      <c r="A569" s="5"/>
      <c r="B569" s="5"/>
      <c r="C569" s="13"/>
      <c r="D569" s="13"/>
      <c r="E569" s="13"/>
      <c r="F569" s="13"/>
    </row>
    <row r="570" spans="1:6" ht="15.75" x14ac:dyDescent="0.25">
      <c r="A570" s="5"/>
      <c r="B570" s="5"/>
      <c r="C570" s="13"/>
      <c r="D570" s="13"/>
      <c r="E570" s="13"/>
      <c r="F570" s="13"/>
    </row>
  </sheetData>
  <autoFilter ref="B5:F30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4AAF-35F2-42E7-9A08-F760D243E2A6}">
  <sheetPr>
    <pageSetUpPr fitToPage="1"/>
  </sheetPr>
  <dimension ref="A2:I563"/>
  <sheetViews>
    <sheetView topLeftCell="A4" workbookViewId="0">
      <selection activeCell="G30" sqref="G3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7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2</v>
      </c>
    </row>
    <row r="6" spans="1:9" ht="16.5" thickBot="1" x14ac:dyDescent="0.3">
      <c r="A6" s="4"/>
      <c r="B6" s="28" t="s">
        <v>10</v>
      </c>
      <c r="C6" s="29">
        <f>SUM(C7:C8)</f>
        <v>153486.42622217454</v>
      </c>
      <c r="D6" s="29">
        <f>SUM(D7:D8)</f>
        <v>73684.58</v>
      </c>
      <c r="E6" s="29">
        <f>SUM(E7:E8)</f>
        <v>147369.16</v>
      </c>
      <c r="F6" s="29">
        <v>217324.44211598774</v>
      </c>
    </row>
    <row r="7" spans="1:9" ht="15.75" x14ac:dyDescent="0.25">
      <c r="A7" s="5"/>
      <c r="B7" s="26" t="s">
        <v>11</v>
      </c>
      <c r="C7" s="27">
        <v>122071.44947396399</v>
      </c>
      <c r="D7" s="27">
        <v>58219.32</v>
      </c>
      <c r="E7" s="27">
        <f t="shared" ref="E7:E8" si="0">D7*2</f>
        <v>116438.64</v>
      </c>
      <c r="F7" s="27">
        <v>169647.17423124181</v>
      </c>
    </row>
    <row r="8" spans="1:9" ht="24" thickBot="1" x14ac:dyDescent="0.4">
      <c r="A8" s="5"/>
      <c r="B8" s="30" t="s">
        <v>12</v>
      </c>
      <c r="C8" s="31">
        <v>31414.976748210545</v>
      </c>
      <c r="D8" s="31">
        <v>15465.26</v>
      </c>
      <c r="E8" s="27">
        <f t="shared" si="0"/>
        <v>30930.52</v>
      </c>
      <c r="F8" s="31">
        <v>47677.267884745939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SUM(C10:C19)</f>
        <v>31126</v>
      </c>
      <c r="D9" s="34">
        <f>SUM(D10:D19)</f>
        <v>30654.81</v>
      </c>
      <c r="E9" s="34">
        <f>SUM(E10:E19)</f>
        <v>61309.62</v>
      </c>
      <c r="F9" s="34">
        <f>SUM(F10:F19)</f>
        <v>37850</v>
      </c>
    </row>
    <row r="10" spans="1:9" ht="15.75" x14ac:dyDescent="0.25">
      <c r="A10" s="5"/>
      <c r="B10" s="26" t="s">
        <v>14</v>
      </c>
      <c r="C10" s="27">
        <v>500</v>
      </c>
      <c r="D10" s="27"/>
      <c r="E10" s="27">
        <f>D10*2</f>
        <v>0</v>
      </c>
      <c r="F10" s="27">
        <v>500</v>
      </c>
    </row>
    <row r="11" spans="1:9" ht="15.75" x14ac:dyDescent="0.25">
      <c r="A11" s="5"/>
      <c r="B11" s="24" t="s">
        <v>18</v>
      </c>
      <c r="C11" s="25">
        <v>500</v>
      </c>
      <c r="D11" s="25">
        <v>2048.4899999999998</v>
      </c>
      <c r="E11" s="27">
        <f t="shared" ref="E11:E22" si="1">D11*2</f>
        <v>4096.9799999999996</v>
      </c>
      <c r="F11" s="25">
        <v>1000</v>
      </c>
      <c r="G11" t="s">
        <v>105</v>
      </c>
    </row>
    <row r="12" spans="1:9" ht="15.75" x14ac:dyDescent="0.25">
      <c r="A12" s="5"/>
      <c r="B12" s="24" t="s">
        <v>19</v>
      </c>
      <c r="C12" s="25">
        <v>2000</v>
      </c>
      <c r="D12" s="25"/>
      <c r="E12" s="27">
        <f t="shared" si="1"/>
        <v>0</v>
      </c>
      <c r="F12" s="25">
        <v>2000</v>
      </c>
    </row>
    <row r="13" spans="1:9" ht="15.75" x14ac:dyDescent="0.25">
      <c r="A13" s="5"/>
      <c r="B13" s="24" t="s">
        <v>21</v>
      </c>
      <c r="C13" s="25">
        <v>5726</v>
      </c>
      <c r="D13" s="25">
        <v>3013.02</v>
      </c>
      <c r="E13" s="27">
        <f t="shared" si="1"/>
        <v>6026.04</v>
      </c>
      <c r="F13" s="25">
        <v>6000</v>
      </c>
      <c r="G13" t="s">
        <v>106</v>
      </c>
    </row>
    <row r="14" spans="1:9" ht="15.75" x14ac:dyDescent="0.25">
      <c r="A14" s="5"/>
      <c r="B14" s="24" t="s">
        <v>28</v>
      </c>
      <c r="C14" s="25">
        <v>1000</v>
      </c>
      <c r="D14" s="25"/>
      <c r="E14" s="27">
        <f t="shared" si="1"/>
        <v>0</v>
      </c>
      <c r="F14" s="25">
        <v>500</v>
      </c>
    </row>
    <row r="15" spans="1:9" ht="15.75" x14ac:dyDescent="0.25">
      <c r="A15" s="5"/>
      <c r="B15" s="24" t="s">
        <v>29</v>
      </c>
      <c r="C15" s="25">
        <v>200</v>
      </c>
      <c r="D15" s="25">
        <v>1335.67</v>
      </c>
      <c r="E15" s="27">
        <f t="shared" si="1"/>
        <v>2671.34</v>
      </c>
      <c r="F15" s="25">
        <v>500</v>
      </c>
    </row>
    <row r="16" spans="1:9" ht="15.75" x14ac:dyDescent="0.25">
      <c r="A16" s="5"/>
      <c r="B16" s="24" t="s">
        <v>30</v>
      </c>
      <c r="C16" s="25">
        <v>1200</v>
      </c>
      <c r="D16" s="25">
        <v>1325.65</v>
      </c>
      <c r="E16" s="27">
        <f t="shared" si="1"/>
        <v>2651.3</v>
      </c>
      <c r="F16" s="25">
        <v>1200</v>
      </c>
    </row>
    <row r="17" spans="1:7" ht="15.75" x14ac:dyDescent="0.25">
      <c r="A17" s="5"/>
      <c r="B17" s="24" t="s">
        <v>31</v>
      </c>
      <c r="C17" s="25"/>
      <c r="D17" s="25">
        <v>12.5</v>
      </c>
      <c r="E17" s="27">
        <f t="shared" si="1"/>
        <v>25</v>
      </c>
      <c r="F17" s="25"/>
    </row>
    <row r="18" spans="1:7" ht="15.75" x14ac:dyDescent="0.25">
      <c r="A18" s="5"/>
      <c r="B18" s="24" t="s">
        <v>33</v>
      </c>
      <c r="C18" s="25"/>
      <c r="D18" s="25">
        <v>161.1</v>
      </c>
      <c r="E18" s="27">
        <f t="shared" si="1"/>
        <v>322.2</v>
      </c>
      <c r="F18" s="25">
        <v>150</v>
      </c>
    </row>
    <row r="19" spans="1:7" ht="16.5" thickBot="1" x14ac:dyDescent="0.3">
      <c r="A19" s="5"/>
      <c r="B19" s="24" t="s">
        <v>37</v>
      </c>
      <c r="C19" s="25">
        <v>20000</v>
      </c>
      <c r="D19" s="25">
        <v>22758.38</v>
      </c>
      <c r="E19" s="27">
        <f t="shared" si="1"/>
        <v>45516.76</v>
      </c>
      <c r="F19" s="25">
        <v>26000</v>
      </c>
      <c r="G19" t="s">
        <v>308</v>
      </c>
    </row>
    <row r="20" spans="1:7" ht="16.5" thickBot="1" x14ac:dyDescent="0.3">
      <c r="A20" s="4"/>
      <c r="B20" s="32" t="s">
        <v>41</v>
      </c>
      <c r="C20" s="33">
        <f t="shared" ref="C20:E20" si="2">SUM(C21:C22)</f>
        <v>5500</v>
      </c>
      <c r="D20" s="33">
        <f t="shared" si="2"/>
        <v>7069.17</v>
      </c>
      <c r="E20" s="33">
        <f t="shared" si="2"/>
        <v>14138.34</v>
      </c>
      <c r="F20" s="34">
        <v>7000</v>
      </c>
    </row>
    <row r="21" spans="1:7" ht="15.75" x14ac:dyDescent="0.25">
      <c r="A21" s="5"/>
      <c r="B21" s="26" t="s">
        <v>42</v>
      </c>
      <c r="C21" s="27">
        <v>2500</v>
      </c>
      <c r="D21" s="27">
        <v>5214.96</v>
      </c>
      <c r="E21" s="27">
        <f t="shared" si="1"/>
        <v>10429.92</v>
      </c>
      <c r="F21" s="27">
        <v>4000</v>
      </c>
    </row>
    <row r="22" spans="1:7" ht="16.5" thickBot="1" x14ac:dyDescent="0.3">
      <c r="A22" s="5"/>
      <c r="B22" s="30" t="s">
        <v>43</v>
      </c>
      <c r="C22" s="31">
        <v>3000</v>
      </c>
      <c r="D22" s="31">
        <v>1854.21</v>
      </c>
      <c r="E22" s="27">
        <f t="shared" si="1"/>
        <v>3708.42</v>
      </c>
      <c r="F22" s="31">
        <v>3000</v>
      </c>
    </row>
    <row r="23" spans="1:7" ht="16.5" thickBot="1" x14ac:dyDescent="0.3">
      <c r="A23" s="5"/>
      <c r="B23" s="17" t="s">
        <v>50</v>
      </c>
      <c r="C23" s="18">
        <f>C6+C9+C20</f>
        <v>190112.42622217454</v>
      </c>
      <c r="D23" s="18">
        <f>D6+D9+D20</f>
        <v>111408.56</v>
      </c>
      <c r="E23" s="18">
        <f>E6+E9+E20</f>
        <v>222817.12</v>
      </c>
      <c r="F23" s="18">
        <f>F6+F9+F20</f>
        <v>262174.44211598777</v>
      </c>
    </row>
    <row r="24" spans="1:7" ht="15.75" x14ac:dyDescent="0.25">
      <c r="A24" s="5"/>
      <c r="B24" s="5"/>
      <c r="C24" s="13"/>
      <c r="D24" s="13"/>
      <c r="E24" s="13"/>
      <c r="F24" s="14"/>
    </row>
    <row r="25" spans="1:7" ht="15.75" x14ac:dyDescent="0.25">
      <c r="A25" s="5"/>
      <c r="B25" s="5"/>
      <c r="C25" s="13"/>
      <c r="D25" s="13"/>
      <c r="E25" s="13"/>
      <c r="F25" s="14"/>
    </row>
    <row r="26" spans="1:7" ht="15.75" x14ac:dyDescent="0.25">
      <c r="A26" s="5"/>
      <c r="B26" s="5"/>
      <c r="C26" s="13"/>
      <c r="D26" s="13"/>
      <c r="E26" s="13"/>
      <c r="F26" s="14"/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</sheetData>
  <autoFilter ref="B5:F23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C38B-5EFD-4799-89FC-2DA497BB76F6}">
  <sheetPr>
    <pageSetUpPr fitToPage="1"/>
  </sheetPr>
  <dimension ref="A2:I556"/>
  <sheetViews>
    <sheetView topLeftCell="A10" workbookViewId="0">
      <selection activeCell="F20" sqref="F2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97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8</v>
      </c>
    </row>
    <row r="6" spans="1:9" ht="16.5" thickBot="1" x14ac:dyDescent="0.3">
      <c r="A6" s="4"/>
      <c r="B6" s="28" t="s">
        <v>10</v>
      </c>
      <c r="C6" s="29">
        <f>SUM(C7:C8)</f>
        <v>552100.20751864603</v>
      </c>
      <c r="D6" s="29">
        <f>SUM(D7:D8)</f>
        <v>234143.74000000002</v>
      </c>
      <c r="E6" s="29">
        <f>SUM(E7:E8)</f>
        <v>468287.48000000004</v>
      </c>
      <c r="F6" s="29">
        <f>SUM(F7:F8)</f>
        <v>613497.16912572435</v>
      </c>
    </row>
    <row r="7" spans="1:9" ht="15.75" x14ac:dyDescent="0.25">
      <c r="A7" s="5"/>
      <c r="B7" s="26" t="s">
        <v>11</v>
      </c>
      <c r="C7" s="27">
        <v>420760.15633439517</v>
      </c>
      <c r="D7" s="27">
        <v>167506.67000000001</v>
      </c>
      <c r="E7" s="27">
        <f t="shared" ref="E7:E8" si="0">D7*2</f>
        <v>335013.34000000003</v>
      </c>
      <c r="F7" s="27">
        <v>466288.43130167999</v>
      </c>
    </row>
    <row r="8" spans="1:9" ht="24" thickBot="1" x14ac:dyDescent="0.4">
      <c r="A8" s="5"/>
      <c r="B8" s="30" t="s">
        <v>12</v>
      </c>
      <c r="C8" s="31">
        <v>131340.05118425089</v>
      </c>
      <c r="D8" s="31">
        <v>66637.070000000007</v>
      </c>
      <c r="E8" s="27">
        <f t="shared" si="0"/>
        <v>133274.14000000001</v>
      </c>
      <c r="F8" s="31">
        <v>147208.73782404439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SUM(C10:C20)</f>
        <v>469075</v>
      </c>
      <c r="D9" s="34">
        <f>SUM(D10:D20)</f>
        <v>208917.65</v>
      </c>
      <c r="E9" s="34">
        <f>SUM(E10:E20)</f>
        <v>417835.3</v>
      </c>
      <c r="F9" s="34">
        <f>SUM(F10:F20)</f>
        <v>488275</v>
      </c>
    </row>
    <row r="10" spans="1:9" ht="15.75" x14ac:dyDescent="0.25">
      <c r="A10" s="5"/>
      <c r="B10" s="24" t="s">
        <v>15</v>
      </c>
      <c r="C10" s="25">
        <v>17000</v>
      </c>
      <c r="D10" s="25">
        <v>15383.380000000001</v>
      </c>
      <c r="E10" s="27">
        <f t="shared" ref="E10:E23" si="1">D10*2</f>
        <v>30766.760000000002</v>
      </c>
      <c r="F10" s="25">
        <v>17000</v>
      </c>
      <c r="G10" t="s">
        <v>88</v>
      </c>
    </row>
    <row r="11" spans="1:9" ht="15.75" x14ac:dyDescent="0.25">
      <c r="A11" s="5"/>
      <c r="B11" s="24" t="s">
        <v>18</v>
      </c>
      <c r="C11" s="25">
        <v>1000</v>
      </c>
      <c r="D11" s="25"/>
      <c r="E11" s="27">
        <f t="shared" si="1"/>
        <v>0</v>
      </c>
      <c r="F11" s="25">
        <v>1000</v>
      </c>
      <c r="G11" t="s">
        <v>95</v>
      </c>
    </row>
    <row r="12" spans="1:9" ht="15.75" x14ac:dyDescent="0.25">
      <c r="A12" s="5"/>
      <c r="B12" s="24" t="s">
        <v>21</v>
      </c>
      <c r="C12" s="25">
        <v>900</v>
      </c>
      <c r="D12" s="25">
        <v>647.4</v>
      </c>
      <c r="E12" s="27">
        <f t="shared" si="1"/>
        <v>1294.8</v>
      </c>
      <c r="F12" s="25">
        <v>1400</v>
      </c>
      <c r="G12" t="s">
        <v>89</v>
      </c>
    </row>
    <row r="13" spans="1:9" ht="15.75" x14ac:dyDescent="0.25">
      <c r="A13" s="5"/>
      <c r="B13" s="24" t="s">
        <v>27</v>
      </c>
      <c r="C13" s="25">
        <v>3000</v>
      </c>
      <c r="D13" s="25">
        <v>1843.1399999999999</v>
      </c>
      <c r="E13" s="27">
        <f t="shared" si="1"/>
        <v>3686.2799999999997</v>
      </c>
      <c r="F13" s="25">
        <v>3500</v>
      </c>
    </row>
    <row r="14" spans="1:9" ht="15.75" x14ac:dyDescent="0.25">
      <c r="A14" s="5"/>
      <c r="B14" s="24" t="s">
        <v>28</v>
      </c>
      <c r="C14" s="25">
        <v>540</v>
      </c>
      <c r="D14" s="25">
        <v>1157.03</v>
      </c>
      <c r="E14" s="27">
        <f t="shared" si="1"/>
        <v>2314.06</v>
      </c>
      <c r="F14" s="25">
        <v>1540</v>
      </c>
      <c r="G14" t="s">
        <v>90</v>
      </c>
    </row>
    <row r="15" spans="1:9" ht="15.75" x14ac:dyDescent="0.25">
      <c r="A15" s="5"/>
      <c r="B15" s="24" t="s">
        <v>29</v>
      </c>
      <c r="C15" s="25">
        <v>280</v>
      </c>
      <c r="D15" s="25">
        <v>115.87</v>
      </c>
      <c r="E15" s="27">
        <f t="shared" si="1"/>
        <v>231.74</v>
      </c>
      <c r="F15" s="25">
        <v>780</v>
      </c>
      <c r="G15" t="s">
        <v>91</v>
      </c>
    </row>
    <row r="16" spans="1:9" ht="15.75" x14ac:dyDescent="0.25">
      <c r="A16" s="5"/>
      <c r="B16" s="24" t="s">
        <v>30</v>
      </c>
      <c r="C16" s="25">
        <v>4000</v>
      </c>
      <c r="D16" s="25">
        <v>4778.3900000000003</v>
      </c>
      <c r="E16" s="27">
        <f t="shared" si="1"/>
        <v>9556.7800000000007</v>
      </c>
      <c r="F16" s="25">
        <v>10000</v>
      </c>
    </row>
    <row r="17" spans="1:9" ht="15.75" x14ac:dyDescent="0.25">
      <c r="A17" s="5"/>
      <c r="B17" s="24" t="s">
        <v>31</v>
      </c>
      <c r="C17" s="25">
        <v>1080</v>
      </c>
      <c r="D17" s="25">
        <v>540</v>
      </c>
      <c r="E17" s="27">
        <f t="shared" si="1"/>
        <v>1080</v>
      </c>
      <c r="F17" s="25">
        <v>1080</v>
      </c>
      <c r="G17" t="s">
        <v>92</v>
      </c>
    </row>
    <row r="18" spans="1:9" ht="15.75" x14ac:dyDescent="0.25">
      <c r="A18" s="5"/>
      <c r="B18" s="24" t="s">
        <v>33</v>
      </c>
      <c r="C18" s="25">
        <v>8000</v>
      </c>
      <c r="D18" s="25">
        <v>3091.68</v>
      </c>
      <c r="E18" s="27">
        <f t="shared" si="1"/>
        <v>6183.36</v>
      </c>
      <c r="F18" s="25">
        <v>8000</v>
      </c>
    </row>
    <row r="19" spans="1:9" ht="15.75" x14ac:dyDescent="0.25">
      <c r="A19" s="5"/>
      <c r="B19" s="24" t="s">
        <v>36</v>
      </c>
      <c r="C19" s="25">
        <v>11000</v>
      </c>
      <c r="D19" s="25">
        <v>1394.68</v>
      </c>
      <c r="E19" s="27">
        <f t="shared" si="1"/>
        <v>2789.36</v>
      </c>
      <c r="F19" s="25">
        <v>5500</v>
      </c>
      <c r="G19" t="s">
        <v>93</v>
      </c>
    </row>
    <row r="20" spans="1:9" ht="16.5" thickBot="1" x14ac:dyDescent="0.3">
      <c r="A20" s="5"/>
      <c r="B20" s="24" t="s">
        <v>37</v>
      </c>
      <c r="C20" s="25">
        <v>422275</v>
      </c>
      <c r="D20" s="25">
        <v>179966.07999999999</v>
      </c>
      <c r="E20" s="27">
        <f t="shared" si="1"/>
        <v>359932.15999999997</v>
      </c>
      <c r="F20" s="25">
        <f>438475</f>
        <v>438475</v>
      </c>
      <c r="G20" t="s">
        <v>310</v>
      </c>
    </row>
    <row r="21" spans="1:9" ht="16.5" thickBot="1" x14ac:dyDescent="0.3">
      <c r="A21" s="4"/>
      <c r="B21" s="32" t="s">
        <v>41</v>
      </c>
      <c r="C21" s="33">
        <f t="shared" ref="C21:E21" si="2">SUM(C22:C23)</f>
        <v>16300</v>
      </c>
      <c r="D21" s="33">
        <f t="shared" si="2"/>
        <v>4459.2800000000007</v>
      </c>
      <c r="E21" s="33">
        <f t="shared" si="2"/>
        <v>8918.5600000000013</v>
      </c>
      <c r="F21" s="34">
        <v>16300</v>
      </c>
    </row>
    <row r="22" spans="1:9" ht="15.75" x14ac:dyDescent="0.25">
      <c r="A22" s="5"/>
      <c r="B22" s="26" t="s">
        <v>42</v>
      </c>
      <c r="C22" s="27">
        <v>8200</v>
      </c>
      <c r="D22" s="27">
        <v>1812.4</v>
      </c>
      <c r="E22" s="27">
        <f t="shared" si="1"/>
        <v>3624.8</v>
      </c>
      <c r="F22" s="27">
        <v>8200</v>
      </c>
      <c r="G22" t="s">
        <v>96</v>
      </c>
    </row>
    <row r="23" spans="1:9" ht="16.5" thickBot="1" x14ac:dyDescent="0.3">
      <c r="A23" s="5"/>
      <c r="B23" s="30" t="s">
        <v>43</v>
      </c>
      <c r="C23" s="31">
        <v>8100</v>
      </c>
      <c r="D23" s="31">
        <v>2646.88</v>
      </c>
      <c r="E23" s="27">
        <f t="shared" si="1"/>
        <v>5293.76</v>
      </c>
      <c r="F23" s="31">
        <v>8100</v>
      </c>
      <c r="G23" t="s">
        <v>94</v>
      </c>
    </row>
    <row r="24" spans="1:9" ht="16.5" thickBot="1" x14ac:dyDescent="0.3">
      <c r="A24" s="5"/>
      <c r="B24" s="17" t="s">
        <v>50</v>
      </c>
      <c r="C24" s="18">
        <f>C6+C9+C21</f>
        <v>1037475.207518646</v>
      </c>
      <c r="D24" s="18">
        <f>D6+D9+D21</f>
        <v>447520.67000000004</v>
      </c>
      <c r="E24" s="18">
        <f>E6+E9+E21</f>
        <v>895041.34000000008</v>
      </c>
      <c r="F24" s="18">
        <f>F6+F9+F21</f>
        <v>1118072.1691257244</v>
      </c>
    </row>
    <row r="25" spans="1:9" ht="15.75" x14ac:dyDescent="0.25">
      <c r="A25" s="5"/>
      <c r="B25" s="5"/>
      <c r="C25" s="13"/>
      <c r="D25" s="13"/>
      <c r="E25" s="13"/>
      <c r="F25" s="14"/>
    </row>
    <row r="26" spans="1:9" ht="16.5" thickBot="1" x14ac:dyDescent="0.3">
      <c r="A26" s="5"/>
      <c r="B26" s="5"/>
      <c r="C26" s="13"/>
      <c r="D26" s="13"/>
      <c r="E26" s="13"/>
      <c r="F26" s="14"/>
    </row>
    <row r="27" spans="1:9" ht="51" x14ac:dyDescent="0.35">
      <c r="A27" s="5"/>
      <c r="B27" s="36" t="s">
        <v>98</v>
      </c>
      <c r="C27" s="20" t="s">
        <v>67</v>
      </c>
      <c r="D27" s="20" t="s">
        <v>66</v>
      </c>
      <c r="E27" s="20" t="s">
        <v>70</v>
      </c>
      <c r="F27" s="21" t="s">
        <v>68</v>
      </c>
      <c r="H27" s="7" t="s">
        <v>53</v>
      </c>
      <c r="I27" s="7">
        <v>1</v>
      </c>
    </row>
    <row r="28" spans="1:9" ht="16.5" thickBot="1" x14ac:dyDescent="0.3">
      <c r="A28" s="5"/>
      <c r="B28" s="28" t="s">
        <v>10</v>
      </c>
      <c r="C28" s="29">
        <f>SUM(C29:C30)</f>
        <v>61461.98954849843</v>
      </c>
      <c r="D28" s="29">
        <f>SUM(D29:D30)</f>
        <v>32215.620000000003</v>
      </c>
      <c r="E28" s="29">
        <f>SUM(E29:E30)</f>
        <v>64431.240000000005</v>
      </c>
      <c r="F28" s="29">
        <f>SUM(F29:F30)</f>
        <v>74326.040584800678</v>
      </c>
    </row>
    <row r="29" spans="1:9" ht="15.75" x14ac:dyDescent="0.25">
      <c r="A29" s="5"/>
      <c r="B29" s="26" t="s">
        <v>11</v>
      </c>
      <c r="C29" s="27">
        <v>46465.357243743521</v>
      </c>
      <c r="D29" s="27">
        <v>21467.45</v>
      </c>
      <c r="E29" s="27">
        <f>D29*2</f>
        <v>42934.9</v>
      </c>
      <c r="F29" s="27">
        <v>57145.871404440011</v>
      </c>
    </row>
    <row r="30" spans="1:9" ht="24" thickBot="1" x14ac:dyDescent="0.4">
      <c r="A30" s="5"/>
      <c r="B30" s="30" t="s">
        <v>12</v>
      </c>
      <c r="C30" s="31">
        <v>14996.63230475491</v>
      </c>
      <c r="D30" s="31">
        <v>10748.170000000002</v>
      </c>
      <c r="E30" s="27">
        <f>D30*2</f>
        <v>21496.340000000004</v>
      </c>
      <c r="F30" s="31">
        <v>17180.169180360663</v>
      </c>
      <c r="H30" s="7" t="s">
        <v>58</v>
      </c>
      <c r="I30" s="7" t="s">
        <v>59</v>
      </c>
    </row>
    <row r="31" spans="1:9" ht="16.5" thickBot="1" x14ac:dyDescent="0.3">
      <c r="A31" s="5"/>
      <c r="B31" s="32" t="s">
        <v>13</v>
      </c>
      <c r="C31" s="34">
        <f>SUM(C32:C34)</f>
        <v>31525</v>
      </c>
      <c r="D31" s="34">
        <f>SUM(D32:D34)</f>
        <v>13871.279999999999</v>
      </c>
      <c r="E31" s="34">
        <f>SUM(E32:E34)</f>
        <v>0</v>
      </c>
      <c r="F31" s="34">
        <f>SUM(F32:F34)</f>
        <v>31525</v>
      </c>
    </row>
    <row r="32" spans="1:9" ht="15.75" x14ac:dyDescent="0.25">
      <c r="A32" s="5"/>
      <c r="B32" s="24" t="s">
        <v>18</v>
      </c>
      <c r="C32" s="25">
        <v>15445</v>
      </c>
      <c r="D32" s="25">
        <v>7465.22</v>
      </c>
      <c r="E32" s="27"/>
      <c r="F32" s="25">
        <v>15445</v>
      </c>
      <c r="G32" t="s">
        <v>99</v>
      </c>
    </row>
    <row r="33" spans="1:7" ht="15.75" x14ac:dyDescent="0.25">
      <c r="A33" s="5"/>
      <c r="B33" s="24" t="s">
        <v>30</v>
      </c>
      <c r="C33" s="25">
        <v>80</v>
      </c>
      <c r="D33" s="25">
        <v>14.99</v>
      </c>
      <c r="E33" s="27"/>
      <c r="F33" s="25">
        <v>80</v>
      </c>
    </row>
    <row r="34" spans="1:7" ht="16.5" thickBot="1" x14ac:dyDescent="0.3">
      <c r="A34" s="5"/>
      <c r="B34" s="24" t="s">
        <v>37</v>
      </c>
      <c r="C34" s="25">
        <v>16000</v>
      </c>
      <c r="D34" s="25">
        <v>6391.07</v>
      </c>
      <c r="E34" s="27"/>
      <c r="F34" s="25">
        <v>16000</v>
      </c>
      <c r="G34" t="s">
        <v>100</v>
      </c>
    </row>
    <row r="35" spans="1:7" ht="16.5" thickBot="1" x14ac:dyDescent="0.3">
      <c r="A35" s="5"/>
      <c r="B35" s="32" t="s">
        <v>41</v>
      </c>
      <c r="C35" s="33">
        <f t="shared" ref="C35" si="3">SUM(C36:C37)</f>
        <v>5000</v>
      </c>
      <c r="D35" s="33">
        <f t="shared" ref="D35:F35" si="4">SUM(D36:D37)</f>
        <v>368</v>
      </c>
      <c r="E35" s="33">
        <f t="shared" ref="E35" si="5">SUM(E36:E37)</f>
        <v>0</v>
      </c>
      <c r="F35" s="33">
        <f t="shared" si="4"/>
        <v>5000</v>
      </c>
    </row>
    <row r="36" spans="1:7" ht="15.75" x14ac:dyDescent="0.25">
      <c r="A36" s="5"/>
      <c r="B36" s="26" t="s">
        <v>42</v>
      </c>
      <c r="C36" s="27">
        <v>5000</v>
      </c>
      <c r="D36" s="27">
        <v>368</v>
      </c>
      <c r="E36" s="27"/>
      <c r="F36" s="27">
        <v>5000</v>
      </c>
    </row>
    <row r="37" spans="1:7" ht="16.5" thickBot="1" x14ac:dyDescent="0.3">
      <c r="A37" s="5"/>
      <c r="B37" s="30" t="s">
        <v>43</v>
      </c>
      <c r="C37" s="31"/>
      <c r="D37" s="31"/>
      <c r="E37" s="27"/>
      <c r="F37" s="31"/>
    </row>
    <row r="38" spans="1:7" ht="16.5" thickBot="1" x14ac:dyDescent="0.3">
      <c r="A38" s="5"/>
      <c r="B38" s="17" t="s">
        <v>50</v>
      </c>
      <c r="C38" s="18">
        <f>C28+C31+C35</f>
        <v>97986.98954849843</v>
      </c>
      <c r="D38" s="18">
        <f>D28+D31+D35</f>
        <v>46454.9</v>
      </c>
      <c r="E38" s="18">
        <f>E28+E31+E35</f>
        <v>64431.240000000005</v>
      </c>
      <c r="F38" s="18">
        <f>F28+F31+F35</f>
        <v>110851.04058480068</v>
      </c>
    </row>
    <row r="39" spans="1:7" ht="15.75" x14ac:dyDescent="0.25">
      <c r="A39" s="5"/>
      <c r="B39" s="5"/>
      <c r="C39" s="13"/>
      <c r="D39" s="13"/>
      <c r="E39" s="13"/>
      <c r="F39" s="14"/>
    </row>
    <row r="40" spans="1:7" ht="15.75" x14ac:dyDescent="0.25">
      <c r="A40" s="5"/>
      <c r="B40" s="5"/>
      <c r="C40" s="13"/>
      <c r="D40" s="13"/>
      <c r="E40" s="13"/>
      <c r="F40" s="14"/>
    </row>
    <row r="41" spans="1:7" ht="15.75" x14ac:dyDescent="0.25">
      <c r="A41" s="5"/>
      <c r="B41" s="5"/>
      <c r="C41" s="13"/>
      <c r="D41" s="13"/>
      <c r="E41" s="13"/>
      <c r="F41" s="14"/>
    </row>
    <row r="42" spans="1:7" ht="15.75" x14ac:dyDescent="0.25">
      <c r="A42" s="5"/>
      <c r="B42" s="5"/>
      <c r="C42" s="13"/>
      <c r="D42" s="13"/>
      <c r="E42" s="13"/>
      <c r="F42" s="14"/>
    </row>
    <row r="43" spans="1:7" ht="15.75" x14ac:dyDescent="0.25">
      <c r="A43" s="5"/>
      <c r="B43" s="5"/>
      <c r="C43" s="13"/>
      <c r="D43" s="13"/>
      <c r="E43" s="13"/>
      <c r="F43" s="14"/>
    </row>
    <row r="44" spans="1:7" ht="15.75" x14ac:dyDescent="0.25">
      <c r="A44" s="5"/>
      <c r="B44" s="5"/>
      <c r="C44" s="13"/>
      <c r="D44" s="13"/>
      <c r="E44" s="13"/>
      <c r="F44" s="14"/>
    </row>
    <row r="45" spans="1:7" ht="15.75" x14ac:dyDescent="0.25">
      <c r="A45" s="5"/>
      <c r="B45" s="5"/>
      <c r="C45" s="13"/>
      <c r="D45" s="13"/>
      <c r="E45" s="13"/>
      <c r="F45" s="14"/>
    </row>
    <row r="46" spans="1:7" ht="15.75" x14ac:dyDescent="0.25">
      <c r="A46" s="5"/>
      <c r="B46" s="5"/>
      <c r="C46" s="13"/>
      <c r="D46" s="13"/>
      <c r="E46" s="13"/>
      <c r="F46" s="14"/>
    </row>
    <row r="47" spans="1:7" ht="15.75" x14ac:dyDescent="0.25">
      <c r="A47" s="5"/>
      <c r="B47" s="5"/>
      <c r="C47" s="13"/>
      <c r="D47" s="13"/>
      <c r="E47" s="13"/>
      <c r="F47" s="14"/>
    </row>
    <row r="48" spans="1:7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</sheetData>
  <autoFilter ref="B5:F24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7FA7-3642-4BD1-B790-D06706476B51}">
  <sheetPr>
    <pageSetUpPr fitToPage="1"/>
  </sheetPr>
  <dimension ref="A2:I562"/>
  <sheetViews>
    <sheetView workbookViewId="0">
      <selection activeCell="B6" sqref="B6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6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2</v>
      </c>
    </row>
    <row r="6" spans="1:9" ht="16.5" thickBot="1" x14ac:dyDescent="0.3">
      <c r="A6" s="4"/>
      <c r="B6" s="28" t="s">
        <v>10</v>
      </c>
      <c r="C6" s="29">
        <f>SUM(C7:C8)</f>
        <v>147404.51802214002</v>
      </c>
      <c r="D6" s="29">
        <f>SUM(D7:D8)</f>
        <v>64196.1</v>
      </c>
      <c r="E6" s="29">
        <f>SUM(E7:E8)</f>
        <v>128392.2</v>
      </c>
      <c r="F6" s="29">
        <f>SUM(F7:F8)</f>
        <v>211996.47374939575</v>
      </c>
    </row>
    <row r="7" spans="1:9" ht="15.75" x14ac:dyDescent="0.25">
      <c r="A7" s="5"/>
      <c r="B7" s="26" t="s">
        <v>11</v>
      </c>
      <c r="C7" s="27">
        <v>123240.47532000001</v>
      </c>
      <c r="D7" s="27">
        <v>48694.46</v>
      </c>
      <c r="E7" s="27">
        <f t="shared" ref="E7:E8" si="0">D7*2</f>
        <v>97388.92</v>
      </c>
      <c r="F7" s="27">
        <v>173468.24053546903</v>
      </c>
    </row>
    <row r="8" spans="1:9" ht="24" thickBot="1" x14ac:dyDescent="0.4">
      <c r="A8" s="5"/>
      <c r="B8" s="30" t="s">
        <v>12</v>
      </c>
      <c r="C8" s="31">
        <v>24164.042702140006</v>
      </c>
      <c r="D8" s="31">
        <v>15501.64</v>
      </c>
      <c r="E8" s="27">
        <f t="shared" si="0"/>
        <v>31003.279999999999</v>
      </c>
      <c r="F8" s="31">
        <v>38528.233213926738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SUM(C10:C18)</f>
        <v>164750</v>
      </c>
      <c r="D9" s="34">
        <f>SUM(D10:D18)</f>
        <v>62745.9</v>
      </c>
      <c r="E9" s="34">
        <f>SUM(E10:E18)</f>
        <v>125491.8</v>
      </c>
      <c r="F9" s="34">
        <f>SUM(F10:F18)</f>
        <v>173450</v>
      </c>
    </row>
    <row r="10" spans="1:9" ht="15.75" x14ac:dyDescent="0.25">
      <c r="A10" s="5"/>
      <c r="B10" s="24" t="s">
        <v>18</v>
      </c>
      <c r="C10" s="25">
        <v>20000</v>
      </c>
      <c r="D10" s="25">
        <v>10759.37</v>
      </c>
      <c r="E10" s="27">
        <f t="shared" ref="E10:E21" si="1">D10*2</f>
        <v>21518.74</v>
      </c>
      <c r="F10" s="25">
        <v>25000</v>
      </c>
    </row>
    <row r="11" spans="1:9" ht="15.75" x14ac:dyDescent="0.25">
      <c r="A11" s="5"/>
      <c r="B11" s="24" t="s">
        <v>28</v>
      </c>
      <c r="C11" s="25">
        <v>30000</v>
      </c>
      <c r="D11" s="25">
        <v>6853.45</v>
      </c>
      <c r="E11" s="27">
        <f t="shared" si="1"/>
        <v>13706.9</v>
      </c>
      <c r="F11" s="25">
        <v>30000</v>
      </c>
      <c r="G11" t="s">
        <v>102</v>
      </c>
    </row>
    <row r="12" spans="1:9" ht="15.75" x14ac:dyDescent="0.25">
      <c r="A12" s="5"/>
      <c r="B12" s="24" t="s">
        <v>29</v>
      </c>
      <c r="C12" s="25">
        <v>1000</v>
      </c>
      <c r="D12" s="25">
        <v>1565.17</v>
      </c>
      <c r="E12" s="27">
        <f t="shared" si="1"/>
        <v>3130.34</v>
      </c>
      <c r="F12" s="25">
        <v>2000</v>
      </c>
    </row>
    <row r="13" spans="1:9" ht="15.75" x14ac:dyDescent="0.25">
      <c r="A13" s="5"/>
      <c r="B13" s="24" t="s">
        <v>30</v>
      </c>
      <c r="C13" s="25">
        <v>250</v>
      </c>
      <c r="D13" s="25">
        <v>49.31</v>
      </c>
      <c r="E13" s="27">
        <f t="shared" si="1"/>
        <v>98.62</v>
      </c>
      <c r="F13" s="25">
        <v>250</v>
      </c>
    </row>
    <row r="14" spans="1:9" ht="15.75" x14ac:dyDescent="0.25">
      <c r="A14" s="5"/>
      <c r="B14" s="24" t="s">
        <v>33</v>
      </c>
      <c r="C14" s="25">
        <v>200</v>
      </c>
      <c r="D14" s="25"/>
      <c r="E14" s="27">
        <f t="shared" si="1"/>
        <v>0</v>
      </c>
      <c r="F14" s="25">
        <v>200</v>
      </c>
    </row>
    <row r="15" spans="1:9" ht="15.75" x14ac:dyDescent="0.25">
      <c r="A15" s="5"/>
      <c r="B15" s="24" t="s">
        <v>36</v>
      </c>
      <c r="C15" s="25">
        <v>25000</v>
      </c>
      <c r="D15" s="25">
        <v>8860.0499999999993</v>
      </c>
      <c r="E15" s="27">
        <f t="shared" si="1"/>
        <v>17720.099999999999</v>
      </c>
      <c r="F15" s="25">
        <v>28000</v>
      </c>
      <c r="G15" t="s">
        <v>103</v>
      </c>
    </row>
    <row r="16" spans="1:9" ht="15.75" x14ac:dyDescent="0.25">
      <c r="A16" s="5"/>
      <c r="B16" s="24" t="s">
        <v>37</v>
      </c>
      <c r="C16" s="25">
        <v>87000</v>
      </c>
      <c r="D16" s="25">
        <v>33821.730000000003</v>
      </c>
      <c r="E16" s="27">
        <f t="shared" si="1"/>
        <v>67643.460000000006</v>
      </c>
      <c r="F16" s="25">
        <v>87000</v>
      </c>
      <c r="G16" t="s">
        <v>104</v>
      </c>
    </row>
    <row r="17" spans="1:7" ht="15.75" x14ac:dyDescent="0.25">
      <c r="A17" s="5"/>
      <c r="B17" s="24" t="s">
        <v>39</v>
      </c>
      <c r="C17" s="25">
        <v>500</v>
      </c>
      <c r="D17" s="25">
        <v>420.35</v>
      </c>
      <c r="E17" s="27">
        <f t="shared" si="1"/>
        <v>840.7</v>
      </c>
      <c r="F17" s="25">
        <v>1000</v>
      </c>
    </row>
    <row r="18" spans="1:7" ht="16.5" thickBot="1" x14ac:dyDescent="0.3">
      <c r="A18" s="5"/>
      <c r="B18" s="24" t="s">
        <v>40</v>
      </c>
      <c r="C18" s="25">
        <v>800</v>
      </c>
      <c r="D18" s="25">
        <v>416.47</v>
      </c>
      <c r="E18" s="27">
        <f t="shared" si="1"/>
        <v>832.94</v>
      </c>
      <c r="F18" s="25">
        <v>0</v>
      </c>
      <c r="G18" t="s">
        <v>101</v>
      </c>
    </row>
    <row r="19" spans="1:7" ht="16.5" thickBot="1" x14ac:dyDescent="0.3">
      <c r="A19" s="4"/>
      <c r="B19" s="32" t="s">
        <v>41</v>
      </c>
      <c r="C19" s="33">
        <f t="shared" ref="C19:E19" si="2">SUM(C20:C21)</f>
        <v>4500</v>
      </c>
      <c r="D19" s="33">
        <f t="shared" si="2"/>
        <v>0</v>
      </c>
      <c r="E19" s="33">
        <f t="shared" si="2"/>
        <v>0</v>
      </c>
      <c r="F19" s="34">
        <v>3500</v>
      </c>
    </row>
    <row r="20" spans="1:7" ht="15.75" x14ac:dyDescent="0.25">
      <c r="A20" s="5"/>
      <c r="B20" s="26" t="s">
        <v>42</v>
      </c>
      <c r="C20" s="27">
        <v>2500</v>
      </c>
      <c r="D20" s="27"/>
      <c r="E20" s="27">
        <f t="shared" si="1"/>
        <v>0</v>
      </c>
      <c r="F20" s="27">
        <v>2500</v>
      </c>
    </row>
    <row r="21" spans="1:7" ht="16.5" thickBot="1" x14ac:dyDescent="0.3">
      <c r="A21" s="5"/>
      <c r="B21" s="30" t="s">
        <v>43</v>
      </c>
      <c r="C21" s="31">
        <v>2000</v>
      </c>
      <c r="D21" s="31"/>
      <c r="E21" s="27">
        <f t="shared" si="1"/>
        <v>0</v>
      </c>
      <c r="F21" s="31">
        <v>1000</v>
      </c>
    </row>
    <row r="22" spans="1:7" ht="16.5" thickBot="1" x14ac:dyDescent="0.3">
      <c r="A22" s="5"/>
      <c r="B22" s="17" t="s">
        <v>50</v>
      </c>
      <c r="C22" s="18">
        <f>C6+C9+C19</f>
        <v>316654.51802214002</v>
      </c>
      <c r="D22" s="18">
        <f>D6+D9+D19</f>
        <v>126942</v>
      </c>
      <c r="E22" s="18">
        <f>E6+E9+E19</f>
        <v>253884</v>
      </c>
      <c r="F22" s="18">
        <f>F6+F9+F19</f>
        <v>388946.47374939575</v>
      </c>
    </row>
    <row r="23" spans="1:7" ht="15.75" x14ac:dyDescent="0.25">
      <c r="A23" s="5"/>
      <c r="B23" s="5"/>
      <c r="C23" s="13"/>
      <c r="D23" s="13"/>
      <c r="E23" s="13"/>
      <c r="F23" s="14"/>
    </row>
    <row r="24" spans="1:7" ht="15.75" x14ac:dyDescent="0.25">
      <c r="A24" s="5"/>
      <c r="B24" s="5"/>
      <c r="C24" s="13"/>
      <c r="D24" s="13"/>
      <c r="E24" s="13"/>
      <c r="F24" s="14"/>
    </row>
    <row r="25" spans="1:7" ht="15.75" x14ac:dyDescent="0.25">
      <c r="A25" s="5"/>
      <c r="B25" s="5"/>
      <c r="C25" s="13"/>
      <c r="D25" s="13"/>
      <c r="E25" s="13"/>
      <c r="F25" s="14"/>
    </row>
    <row r="26" spans="1:7" ht="15.75" x14ac:dyDescent="0.25">
      <c r="A26" s="5"/>
      <c r="B26" s="5"/>
      <c r="C26" s="13"/>
      <c r="D26" s="13"/>
      <c r="E26" s="13"/>
      <c r="F26" s="14"/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</sheetData>
  <autoFilter ref="B5:F22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9827-2AC9-46D3-BE8C-B2E6F4045BCE}">
  <sheetPr>
    <pageSetUpPr fitToPage="1"/>
  </sheetPr>
  <dimension ref="A2:I518"/>
  <sheetViews>
    <sheetView workbookViewId="0">
      <selection activeCell="I9" sqref="I9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9.85546875" customWidth="1"/>
    <col min="9" max="9" width="12.5703125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1.5" x14ac:dyDescent="0.5">
      <c r="A4" s="2"/>
      <c r="B4" s="2"/>
      <c r="C4" s="11"/>
      <c r="D4" s="11"/>
      <c r="E4" s="11"/>
      <c r="F4" s="12"/>
    </row>
    <row r="5" spans="1:9" ht="16.5" thickBot="1" x14ac:dyDescent="0.3">
      <c r="A5" s="5"/>
      <c r="B5" s="5"/>
      <c r="C5" s="13"/>
      <c r="D5" s="13"/>
      <c r="E5" s="13"/>
      <c r="F5" s="14"/>
    </row>
    <row r="6" spans="1:9" ht="51.75" thickBot="1" x14ac:dyDescent="0.4">
      <c r="A6" s="5"/>
      <c r="B6" s="36" t="s">
        <v>5</v>
      </c>
      <c r="C6" s="20" t="s">
        <v>67</v>
      </c>
      <c r="D6" s="20" t="s">
        <v>66</v>
      </c>
      <c r="E6" s="20" t="s">
        <v>70</v>
      </c>
      <c r="F6" s="21" t="s">
        <v>68</v>
      </c>
      <c r="H6" s="7" t="s">
        <v>58</v>
      </c>
      <c r="I6" s="7"/>
    </row>
    <row r="7" spans="1:9" ht="16.5" thickBot="1" x14ac:dyDescent="0.3">
      <c r="A7" s="5"/>
      <c r="B7" s="32" t="s">
        <v>13</v>
      </c>
      <c r="C7" s="34">
        <f>SUM(C8:C11)</f>
        <v>7000</v>
      </c>
      <c r="D7" s="34">
        <f t="shared" ref="D7:F7" si="0">SUM(D8:D11)</f>
        <v>0</v>
      </c>
      <c r="E7" s="34">
        <f t="shared" si="0"/>
        <v>0</v>
      </c>
      <c r="F7" s="34">
        <f t="shared" si="0"/>
        <v>7000</v>
      </c>
      <c r="H7" t="s">
        <v>87</v>
      </c>
      <c r="I7" s="40">
        <v>48844</v>
      </c>
    </row>
    <row r="8" spans="1:9" ht="15.75" x14ac:dyDescent="0.25">
      <c r="A8" s="5"/>
      <c r="B8" s="24" t="s">
        <v>29</v>
      </c>
      <c r="C8" s="25">
        <v>1000</v>
      </c>
      <c r="D8" s="25"/>
      <c r="E8" s="27"/>
      <c r="F8" s="25">
        <v>1000</v>
      </c>
      <c r="I8" s="40"/>
    </row>
    <row r="9" spans="1:9" ht="15.75" x14ac:dyDescent="0.25">
      <c r="A9" s="5"/>
      <c r="B9" s="24" t="s">
        <v>36</v>
      </c>
      <c r="C9" s="25">
        <v>1000</v>
      </c>
      <c r="D9" s="25"/>
      <c r="E9" s="27"/>
      <c r="F9" s="25">
        <v>1000</v>
      </c>
    </row>
    <row r="10" spans="1:9" ht="15.75" x14ac:dyDescent="0.25">
      <c r="A10" s="5"/>
      <c r="B10" s="24" t="s">
        <v>37</v>
      </c>
      <c r="C10" s="25">
        <v>2500</v>
      </c>
      <c r="D10" s="25"/>
      <c r="E10" s="27"/>
      <c r="F10" s="25">
        <v>2500</v>
      </c>
    </row>
    <row r="11" spans="1:9" ht="16.5" thickBot="1" x14ac:dyDescent="0.3">
      <c r="A11" s="5"/>
      <c r="B11" s="30" t="s">
        <v>39</v>
      </c>
      <c r="C11" s="31">
        <v>2500</v>
      </c>
      <c r="D11" s="31"/>
      <c r="E11" s="31"/>
      <c r="F11" s="31">
        <v>2500</v>
      </c>
    </row>
    <row r="12" spans="1:9" ht="16.5" thickBot="1" x14ac:dyDescent="0.3">
      <c r="A12" s="5"/>
      <c r="B12" s="45" t="s">
        <v>44</v>
      </c>
      <c r="C12" s="43">
        <f>SUM(C13:C18)</f>
        <v>22500</v>
      </c>
      <c r="D12" s="43">
        <f t="shared" ref="D12:F12" si="1">SUM(D13:D18)</f>
        <v>6227.72</v>
      </c>
      <c r="E12" s="43">
        <f t="shared" si="1"/>
        <v>12455.44</v>
      </c>
      <c r="F12" s="44">
        <f t="shared" si="1"/>
        <v>22500</v>
      </c>
    </row>
    <row r="13" spans="1:9" ht="15.75" x14ac:dyDescent="0.25">
      <c r="A13" s="5"/>
      <c r="B13" s="26" t="s">
        <v>45</v>
      </c>
      <c r="C13" s="27">
        <v>15000</v>
      </c>
      <c r="D13" s="27">
        <v>4821.09</v>
      </c>
      <c r="E13" s="27">
        <f>D13*2</f>
        <v>9642.18</v>
      </c>
      <c r="F13" s="27">
        <v>15000</v>
      </c>
    </row>
    <row r="14" spans="1:9" ht="15.75" x14ac:dyDescent="0.25">
      <c r="A14" s="5"/>
      <c r="B14" s="24" t="s">
        <v>24</v>
      </c>
      <c r="C14" s="25">
        <v>2000</v>
      </c>
      <c r="D14" s="25"/>
      <c r="E14" s="27">
        <f t="shared" ref="E14:E18" si="2">D14*2</f>
        <v>0</v>
      </c>
      <c r="F14" s="25">
        <v>2000</v>
      </c>
    </row>
    <row r="15" spans="1:9" ht="15.75" x14ac:dyDescent="0.25">
      <c r="A15" s="5"/>
      <c r="B15" s="24" t="s">
        <v>46</v>
      </c>
      <c r="C15" s="25">
        <v>500</v>
      </c>
      <c r="D15" s="25">
        <v>165</v>
      </c>
      <c r="E15" s="27">
        <f t="shared" si="2"/>
        <v>330</v>
      </c>
      <c r="F15" s="25">
        <v>500</v>
      </c>
    </row>
    <row r="16" spans="1:9" ht="15.75" x14ac:dyDescent="0.25">
      <c r="A16" s="5"/>
      <c r="B16" s="24" t="s">
        <v>47</v>
      </c>
      <c r="C16" s="25">
        <v>2500</v>
      </c>
      <c r="D16" s="25">
        <v>322.43</v>
      </c>
      <c r="E16" s="27">
        <f t="shared" si="2"/>
        <v>644.86</v>
      </c>
      <c r="F16" s="25">
        <v>2500</v>
      </c>
    </row>
    <row r="17" spans="1:6" ht="15.75" x14ac:dyDescent="0.25">
      <c r="A17" s="5"/>
      <c r="B17" s="24" t="s">
        <v>48</v>
      </c>
      <c r="C17" s="25">
        <v>500</v>
      </c>
      <c r="D17" s="25"/>
      <c r="E17" s="27">
        <f t="shared" si="2"/>
        <v>0</v>
      </c>
      <c r="F17" s="25">
        <v>500</v>
      </c>
    </row>
    <row r="18" spans="1:6" ht="15.75" x14ac:dyDescent="0.25">
      <c r="A18" s="5"/>
      <c r="B18" s="24" t="s">
        <v>49</v>
      </c>
      <c r="C18" s="25">
        <v>2000</v>
      </c>
      <c r="D18" s="25">
        <v>919.2</v>
      </c>
      <c r="E18" s="27">
        <f t="shared" si="2"/>
        <v>1838.4</v>
      </c>
      <c r="F18" s="25">
        <v>2000</v>
      </c>
    </row>
    <row r="19" spans="1:6" ht="16.5" thickBot="1" x14ac:dyDescent="0.3">
      <c r="A19" s="5"/>
      <c r="B19" s="22" t="s">
        <v>50</v>
      </c>
      <c r="C19" s="23">
        <f>C7+C12</f>
        <v>29500</v>
      </c>
      <c r="D19" s="23">
        <f>D7+D12</f>
        <v>6227.72</v>
      </c>
      <c r="E19" s="23">
        <f>E7+E12</f>
        <v>12455.44</v>
      </c>
      <c r="F19" s="23">
        <f>F7+F12</f>
        <v>29500</v>
      </c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3"/>
    </row>
    <row r="229" spans="1:6" ht="15.75" x14ac:dyDescent="0.25">
      <c r="A229" s="5"/>
      <c r="B229" s="5"/>
      <c r="C229" s="13"/>
      <c r="D229" s="13"/>
      <c r="E229" s="13"/>
      <c r="F229" s="13"/>
    </row>
    <row r="230" spans="1:6" ht="15.75" x14ac:dyDescent="0.25">
      <c r="A230" s="5"/>
      <c r="B230" s="5"/>
      <c r="C230" s="13"/>
      <c r="D230" s="13"/>
      <c r="E230" s="13"/>
      <c r="F230" s="13"/>
    </row>
    <row r="231" spans="1:6" ht="15.75" x14ac:dyDescent="0.25">
      <c r="A231" s="5"/>
      <c r="B231" s="5"/>
      <c r="C231" s="13"/>
      <c r="D231" s="13"/>
      <c r="E231" s="13"/>
      <c r="F231" s="13"/>
    </row>
    <row r="232" spans="1:6" ht="15.75" x14ac:dyDescent="0.25">
      <c r="A232" s="5"/>
      <c r="B232" s="5"/>
      <c r="C232" s="13"/>
      <c r="D232" s="13"/>
      <c r="E232" s="13"/>
      <c r="F232" s="13"/>
    </row>
    <row r="233" spans="1:6" ht="15.75" x14ac:dyDescent="0.25">
      <c r="A233" s="5"/>
      <c r="B233" s="5"/>
      <c r="C233" s="13"/>
      <c r="D233" s="13"/>
      <c r="E233" s="13"/>
      <c r="F233" s="13"/>
    </row>
    <row r="234" spans="1:6" ht="15.75" x14ac:dyDescent="0.25">
      <c r="A234" s="5"/>
      <c r="B234" s="5"/>
      <c r="C234" s="13"/>
      <c r="D234" s="13"/>
      <c r="E234" s="13"/>
      <c r="F234" s="13"/>
    </row>
    <row r="235" spans="1:6" ht="15.75" x14ac:dyDescent="0.25">
      <c r="A235" s="5"/>
      <c r="B235" s="5"/>
      <c r="C235" s="13"/>
      <c r="D235" s="13"/>
      <c r="E235" s="13"/>
      <c r="F235" s="13"/>
    </row>
    <row r="236" spans="1:6" ht="15.75" x14ac:dyDescent="0.25">
      <c r="A236" s="5"/>
      <c r="B236" s="5"/>
      <c r="C236" s="13"/>
      <c r="D236" s="13"/>
      <c r="E236" s="13"/>
      <c r="F236" s="13"/>
    </row>
    <row r="237" spans="1:6" ht="15.75" x14ac:dyDescent="0.25">
      <c r="A237" s="5"/>
      <c r="B237" s="5"/>
      <c r="C237" s="13"/>
      <c r="D237" s="13"/>
      <c r="E237" s="13"/>
      <c r="F237" s="13"/>
    </row>
    <row r="238" spans="1:6" ht="15.75" x14ac:dyDescent="0.25">
      <c r="A238" s="5"/>
      <c r="B238" s="5"/>
      <c r="C238" s="13"/>
      <c r="D238" s="13"/>
      <c r="E238" s="13"/>
      <c r="F238" s="13"/>
    </row>
    <row r="239" spans="1:6" ht="15.75" x14ac:dyDescent="0.25">
      <c r="A239" s="5"/>
      <c r="B239" s="5"/>
      <c r="C239" s="13"/>
      <c r="D239" s="13"/>
      <c r="E239" s="13"/>
      <c r="F239" s="13"/>
    </row>
    <row r="240" spans="1:6" ht="15.75" x14ac:dyDescent="0.25">
      <c r="A240" s="5"/>
      <c r="B240" s="5"/>
      <c r="C240" s="13"/>
      <c r="D240" s="13"/>
      <c r="E240" s="13"/>
      <c r="F240" s="13"/>
    </row>
    <row r="241" spans="1:6" ht="15.75" x14ac:dyDescent="0.25">
      <c r="A241" s="5"/>
      <c r="B241" s="5"/>
      <c r="C241" s="13"/>
      <c r="D241" s="13"/>
      <c r="E241" s="13"/>
      <c r="F241" s="13"/>
    </row>
    <row r="242" spans="1:6" ht="15.75" x14ac:dyDescent="0.25">
      <c r="A242" s="5"/>
      <c r="B242" s="5"/>
      <c r="C242" s="13"/>
      <c r="D242" s="13"/>
      <c r="E242" s="13"/>
      <c r="F242" s="13"/>
    </row>
    <row r="243" spans="1:6" ht="15.75" x14ac:dyDescent="0.25">
      <c r="A243" s="5"/>
      <c r="B243" s="5"/>
      <c r="C243" s="13"/>
      <c r="D243" s="13"/>
      <c r="E243" s="13"/>
      <c r="F243" s="13"/>
    </row>
    <row r="244" spans="1:6" ht="15.75" x14ac:dyDescent="0.25">
      <c r="A244" s="5"/>
      <c r="B244" s="5"/>
      <c r="C244" s="13"/>
      <c r="D244" s="13"/>
      <c r="E244" s="13"/>
      <c r="F244" s="13"/>
    </row>
    <row r="245" spans="1:6" ht="15.75" x14ac:dyDescent="0.25">
      <c r="A245" s="5"/>
      <c r="B245" s="5"/>
      <c r="C245" s="13"/>
      <c r="D245" s="13"/>
      <c r="E245" s="13"/>
      <c r="F245" s="13"/>
    </row>
    <row r="246" spans="1:6" ht="15.75" x14ac:dyDescent="0.25">
      <c r="A246" s="5"/>
      <c r="B246" s="5"/>
      <c r="C246" s="13"/>
      <c r="D246" s="13"/>
      <c r="E246" s="13"/>
      <c r="F246" s="13"/>
    </row>
    <row r="247" spans="1:6" ht="15.75" x14ac:dyDescent="0.25">
      <c r="A247" s="5"/>
      <c r="B247" s="5"/>
      <c r="C247" s="13"/>
      <c r="D247" s="13"/>
      <c r="E247" s="13"/>
      <c r="F247" s="13"/>
    </row>
    <row r="248" spans="1:6" ht="15.75" x14ac:dyDescent="0.25">
      <c r="A248" s="5"/>
      <c r="B248" s="5"/>
      <c r="C248" s="13"/>
      <c r="D248" s="13"/>
      <c r="E248" s="13"/>
      <c r="F248" s="13"/>
    </row>
    <row r="249" spans="1:6" ht="15.75" x14ac:dyDescent="0.25">
      <c r="A249" s="5"/>
      <c r="B249" s="5"/>
      <c r="C249" s="13"/>
      <c r="D249" s="13"/>
      <c r="E249" s="13"/>
      <c r="F249" s="13"/>
    </row>
    <row r="250" spans="1:6" ht="15.75" x14ac:dyDescent="0.25">
      <c r="A250" s="5"/>
      <c r="B250" s="5"/>
      <c r="C250" s="13"/>
      <c r="D250" s="13"/>
      <c r="E250" s="13"/>
      <c r="F250" s="13"/>
    </row>
    <row r="251" spans="1:6" ht="15.75" x14ac:dyDescent="0.25">
      <c r="A251" s="5"/>
      <c r="B251" s="5"/>
      <c r="C251" s="13"/>
      <c r="D251" s="13"/>
      <c r="E251" s="13"/>
      <c r="F251" s="13"/>
    </row>
    <row r="252" spans="1:6" ht="15.75" x14ac:dyDescent="0.25">
      <c r="A252" s="5"/>
      <c r="B252" s="5"/>
      <c r="C252" s="13"/>
      <c r="D252" s="13"/>
      <c r="E252" s="13"/>
      <c r="F252" s="13"/>
    </row>
    <row r="253" spans="1:6" ht="15.75" x14ac:dyDescent="0.25">
      <c r="A253" s="5"/>
      <c r="B253" s="5"/>
      <c r="C253" s="13"/>
      <c r="D253" s="13"/>
      <c r="E253" s="13"/>
      <c r="F253" s="13"/>
    </row>
    <row r="254" spans="1:6" ht="15.75" x14ac:dyDescent="0.25">
      <c r="A254" s="5"/>
      <c r="B254" s="5"/>
      <c r="C254" s="13"/>
      <c r="D254" s="13"/>
      <c r="E254" s="13"/>
      <c r="F254" s="13"/>
    </row>
    <row r="255" spans="1:6" ht="15.75" x14ac:dyDescent="0.25">
      <c r="A255" s="5"/>
      <c r="B255" s="5"/>
      <c r="C255" s="13"/>
      <c r="D255" s="13"/>
      <c r="E255" s="13"/>
      <c r="F255" s="13"/>
    </row>
    <row r="256" spans="1:6" ht="15.75" x14ac:dyDescent="0.25">
      <c r="A256" s="5"/>
      <c r="B256" s="5"/>
      <c r="C256" s="13"/>
      <c r="D256" s="13"/>
      <c r="E256" s="13"/>
      <c r="F256" s="13"/>
    </row>
    <row r="257" spans="1:6" ht="15.75" x14ac:dyDescent="0.25">
      <c r="A257" s="5"/>
      <c r="B257" s="5"/>
      <c r="C257" s="13"/>
      <c r="D257" s="13"/>
      <c r="E257" s="13"/>
      <c r="F257" s="13"/>
    </row>
    <row r="258" spans="1:6" ht="15.75" x14ac:dyDescent="0.25">
      <c r="A258" s="5"/>
      <c r="B258" s="5"/>
      <c r="C258" s="13"/>
      <c r="D258" s="13"/>
      <c r="E258" s="13"/>
      <c r="F258" s="13"/>
    </row>
    <row r="259" spans="1:6" ht="15.75" x14ac:dyDescent="0.25">
      <c r="A259" s="5"/>
      <c r="B259" s="5"/>
      <c r="C259" s="13"/>
      <c r="D259" s="13"/>
      <c r="E259" s="13"/>
      <c r="F259" s="13"/>
    </row>
    <row r="260" spans="1:6" ht="15.75" x14ac:dyDescent="0.25">
      <c r="A260" s="5"/>
      <c r="B260" s="5"/>
      <c r="C260" s="13"/>
      <c r="D260" s="13"/>
      <c r="E260" s="13"/>
      <c r="F260" s="13"/>
    </row>
    <row r="261" spans="1:6" ht="15.75" x14ac:dyDescent="0.25">
      <c r="A261" s="5"/>
      <c r="B261" s="5"/>
      <c r="C261" s="13"/>
      <c r="D261" s="13"/>
      <c r="E261" s="13"/>
      <c r="F261" s="13"/>
    </row>
    <row r="262" spans="1:6" ht="15.75" x14ac:dyDescent="0.25">
      <c r="A262" s="5"/>
      <c r="B262" s="5"/>
      <c r="C262" s="13"/>
      <c r="D262" s="13"/>
      <c r="E262" s="13"/>
      <c r="F262" s="13"/>
    </row>
    <row r="263" spans="1:6" ht="15.75" x14ac:dyDescent="0.25">
      <c r="A263" s="5"/>
      <c r="B263" s="5"/>
      <c r="C263" s="13"/>
      <c r="D263" s="13"/>
      <c r="E263" s="13"/>
      <c r="F263" s="13"/>
    </row>
    <row r="264" spans="1:6" ht="15.75" x14ac:dyDescent="0.25">
      <c r="A264" s="5"/>
      <c r="B264" s="5"/>
      <c r="C264" s="13"/>
      <c r="D264" s="13"/>
      <c r="E264" s="13"/>
      <c r="F264" s="13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</sheetData>
  <pageMargins left="0.7" right="0.7" top="0.75" bottom="0.75" header="0.3" footer="0.3"/>
  <pageSetup scale="67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E048-E2CB-43A5-A2FD-EE6700D67E66}">
  <sheetPr>
    <pageSetUpPr fitToPage="1"/>
  </sheetPr>
  <dimension ref="A2:J539"/>
  <sheetViews>
    <sheetView topLeftCell="A11" workbookViewId="0">
      <selection activeCell="F40" activeCellId="1" sqref="F25 F4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9.85546875" customWidth="1"/>
    <col min="9" max="9" width="12.5703125" customWidth="1"/>
  </cols>
  <sheetData>
    <row r="2" spans="1:10" ht="26.25" x14ac:dyDescent="0.4">
      <c r="A2" s="1"/>
      <c r="B2" s="1"/>
      <c r="C2" s="15" t="s">
        <v>0</v>
      </c>
      <c r="D2" s="9"/>
      <c r="E2" s="9"/>
    </row>
    <row r="3" spans="1:10" ht="31.5" x14ac:dyDescent="0.5">
      <c r="A3" s="2"/>
      <c r="B3" s="2"/>
      <c r="C3" s="16" t="s">
        <v>1</v>
      </c>
      <c r="D3" s="11"/>
      <c r="E3" s="11"/>
    </row>
    <row r="4" spans="1:10" ht="32.25" thickBot="1" x14ac:dyDescent="0.55000000000000004">
      <c r="A4" s="2"/>
      <c r="B4" s="2"/>
      <c r="C4" s="11"/>
      <c r="D4" s="11"/>
      <c r="E4" s="11"/>
      <c r="F4" s="12"/>
    </row>
    <row r="5" spans="1:10" ht="51" x14ac:dyDescent="0.35">
      <c r="A5" s="3"/>
      <c r="B5" s="36" t="s">
        <v>73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3</v>
      </c>
    </row>
    <row r="6" spans="1:10" ht="16.5" thickBot="1" x14ac:dyDescent="0.3">
      <c r="A6" s="4"/>
      <c r="B6" s="28" t="s">
        <v>10</v>
      </c>
      <c r="C6" s="29">
        <f>SUM(C7:C8)</f>
        <v>287182.02548250172</v>
      </c>
      <c r="D6" s="29">
        <f>SUM(D7:D8)</f>
        <v>139871.64000000001</v>
      </c>
      <c r="E6" s="29">
        <f>SUM(E7:E8)</f>
        <v>279743.28000000003</v>
      </c>
      <c r="F6" s="29">
        <f>SUM(F7:F8)</f>
        <v>291465.61031076126</v>
      </c>
    </row>
    <row r="7" spans="1:10" ht="23.25" x14ac:dyDescent="0.35">
      <c r="A7" s="5"/>
      <c r="B7" s="26" t="s">
        <v>11</v>
      </c>
      <c r="C7" s="27">
        <v>231226.25516363024</v>
      </c>
      <c r="D7" s="27">
        <v>86095.56</v>
      </c>
      <c r="E7" s="27">
        <f t="shared" ref="E7:E8" si="0">D7*2</f>
        <v>172191.12</v>
      </c>
      <c r="F7" s="27">
        <v>221746.51633308621</v>
      </c>
      <c r="H7" s="7" t="s">
        <v>58</v>
      </c>
      <c r="I7" s="7"/>
    </row>
    <row r="8" spans="1:10" ht="16.5" thickBot="1" x14ac:dyDescent="0.3">
      <c r="A8" s="5"/>
      <c r="B8" s="30" t="s">
        <v>12</v>
      </c>
      <c r="C8" s="31">
        <v>55955.770318871459</v>
      </c>
      <c r="D8" s="31">
        <v>53776.08</v>
      </c>
      <c r="E8" s="27">
        <f t="shared" si="0"/>
        <v>107552.16</v>
      </c>
      <c r="F8" s="31">
        <v>69719.093977675046</v>
      </c>
      <c r="H8" t="s">
        <v>74</v>
      </c>
      <c r="I8" s="40">
        <v>39077.69</v>
      </c>
    </row>
    <row r="9" spans="1:10" ht="16.5" thickBot="1" x14ac:dyDescent="0.3">
      <c r="A9" s="4"/>
      <c r="B9" s="32" t="s">
        <v>13</v>
      </c>
      <c r="C9" s="34">
        <f>SUM(C10:C18)</f>
        <v>73780</v>
      </c>
      <c r="D9" s="34">
        <f>SUM(D10:D18)</f>
        <v>29572.38</v>
      </c>
      <c r="E9" s="34">
        <f>SUM(E10:E18)</f>
        <v>59144.76</v>
      </c>
      <c r="F9" s="34">
        <f>SUM(F10:F18)</f>
        <v>82300</v>
      </c>
      <c r="H9" t="s">
        <v>75</v>
      </c>
      <c r="I9" s="40">
        <v>24065</v>
      </c>
      <c r="J9" t="s">
        <v>76</v>
      </c>
    </row>
    <row r="10" spans="1:10" ht="15.75" x14ac:dyDescent="0.25">
      <c r="A10" s="5"/>
      <c r="B10" s="24" t="s">
        <v>26</v>
      </c>
      <c r="C10" s="25">
        <v>100</v>
      </c>
      <c r="D10" s="25"/>
      <c r="E10" s="27">
        <f t="shared" ref="E10:E21" si="1">D10*2</f>
        <v>0</v>
      </c>
      <c r="F10" s="25">
        <v>50</v>
      </c>
    </row>
    <row r="11" spans="1:10" ht="15.75" x14ac:dyDescent="0.25">
      <c r="A11" s="5"/>
      <c r="B11" s="24" t="s">
        <v>28</v>
      </c>
      <c r="C11" s="25">
        <v>10000</v>
      </c>
      <c r="D11" s="25">
        <v>5977.21</v>
      </c>
      <c r="E11" s="27">
        <f t="shared" si="1"/>
        <v>11954.42</v>
      </c>
      <c r="F11" s="25">
        <v>12000</v>
      </c>
      <c r="G11" t="s">
        <v>77</v>
      </c>
    </row>
    <row r="12" spans="1:10" ht="15.75" x14ac:dyDescent="0.25">
      <c r="A12" s="5"/>
      <c r="B12" s="24" t="s">
        <v>29</v>
      </c>
      <c r="C12" s="25">
        <v>15000</v>
      </c>
      <c r="D12" s="25">
        <v>11312.95</v>
      </c>
      <c r="E12" s="27">
        <f t="shared" si="1"/>
        <v>22625.9</v>
      </c>
      <c r="F12" s="25">
        <v>20000</v>
      </c>
      <c r="G12" t="s">
        <v>78</v>
      </c>
    </row>
    <row r="13" spans="1:10" ht="15.75" x14ac:dyDescent="0.25">
      <c r="A13" s="5"/>
      <c r="B13" s="24" t="s">
        <v>30</v>
      </c>
      <c r="C13" s="25">
        <v>80</v>
      </c>
      <c r="D13" s="25">
        <v>23.29</v>
      </c>
      <c r="E13" s="27">
        <f t="shared" si="1"/>
        <v>46.58</v>
      </c>
      <c r="F13" s="25">
        <v>50</v>
      </c>
    </row>
    <row r="14" spans="1:10" ht="15.75" x14ac:dyDescent="0.25">
      <c r="A14" s="5"/>
      <c r="B14" s="24" t="s">
        <v>33</v>
      </c>
      <c r="C14" s="25">
        <v>600</v>
      </c>
      <c r="D14" s="25">
        <v>94.5</v>
      </c>
      <c r="E14" s="27">
        <f t="shared" si="1"/>
        <v>189</v>
      </c>
      <c r="F14" s="25">
        <v>200</v>
      </c>
    </row>
    <row r="15" spans="1:10" ht="15.75" x14ac:dyDescent="0.25">
      <c r="A15" s="5"/>
      <c r="B15" s="24" t="s">
        <v>36</v>
      </c>
      <c r="C15" s="25">
        <v>28000</v>
      </c>
      <c r="D15" s="25">
        <v>7019.91</v>
      </c>
      <c r="E15" s="27">
        <f t="shared" si="1"/>
        <v>14039.82</v>
      </c>
      <c r="F15" s="25">
        <v>30000</v>
      </c>
      <c r="G15" t="s">
        <v>79</v>
      </c>
    </row>
    <row r="16" spans="1:10" ht="15.75" x14ac:dyDescent="0.25">
      <c r="A16" s="5"/>
      <c r="B16" s="24" t="s">
        <v>37</v>
      </c>
      <c r="C16" s="25">
        <v>10000</v>
      </c>
      <c r="D16" s="25">
        <v>4290</v>
      </c>
      <c r="E16" s="27">
        <f t="shared" si="1"/>
        <v>8580</v>
      </c>
      <c r="F16" s="25">
        <v>10000</v>
      </c>
      <c r="G16" t="s">
        <v>80</v>
      </c>
    </row>
    <row r="17" spans="1:7" ht="15.75" x14ac:dyDescent="0.25">
      <c r="A17" s="5"/>
      <c r="B17" s="24" t="s">
        <v>39</v>
      </c>
      <c r="C17" s="25">
        <v>10000</v>
      </c>
      <c r="D17" s="25">
        <v>560</v>
      </c>
      <c r="E17" s="27">
        <f t="shared" si="1"/>
        <v>1120</v>
      </c>
      <c r="F17" s="25">
        <v>10000</v>
      </c>
      <c r="G17" t="s">
        <v>81</v>
      </c>
    </row>
    <row r="18" spans="1:7" ht="16.5" thickBot="1" x14ac:dyDescent="0.3">
      <c r="A18" s="5"/>
      <c r="B18" s="24" t="s">
        <v>40</v>
      </c>
      <c r="C18" s="25"/>
      <c r="D18" s="25">
        <v>294.52</v>
      </c>
      <c r="E18" s="27">
        <f t="shared" si="1"/>
        <v>589.04</v>
      </c>
      <c r="F18" s="25"/>
      <c r="G18" t="s">
        <v>83</v>
      </c>
    </row>
    <row r="19" spans="1:7" ht="16.5" thickBot="1" x14ac:dyDescent="0.3">
      <c r="A19" s="4"/>
      <c r="B19" s="32" t="s">
        <v>41</v>
      </c>
      <c r="C19" s="33">
        <f t="shared" ref="C19:E19" si="2">SUM(C20:C21)</f>
        <v>4000</v>
      </c>
      <c r="D19" s="33">
        <f t="shared" si="2"/>
        <v>0</v>
      </c>
      <c r="E19" s="33">
        <f t="shared" si="2"/>
        <v>0</v>
      </c>
      <c r="F19" s="34">
        <f>SUM(F20:F21)</f>
        <v>4000</v>
      </c>
    </row>
    <row r="20" spans="1:7" ht="15.75" x14ac:dyDescent="0.25">
      <c r="A20" s="5"/>
      <c r="B20" s="26" t="s">
        <v>42</v>
      </c>
      <c r="C20" s="27">
        <v>3500</v>
      </c>
      <c r="D20" s="27">
        <v>0</v>
      </c>
      <c r="E20" s="27">
        <f t="shared" si="1"/>
        <v>0</v>
      </c>
      <c r="F20" s="27">
        <v>3500</v>
      </c>
    </row>
    <row r="21" spans="1:7" ht="16.5" thickBot="1" x14ac:dyDescent="0.3">
      <c r="A21" s="5"/>
      <c r="B21" s="30" t="s">
        <v>43</v>
      </c>
      <c r="C21" s="31">
        <v>500</v>
      </c>
      <c r="D21" s="31">
        <v>0</v>
      </c>
      <c r="E21" s="35">
        <f t="shared" si="1"/>
        <v>0</v>
      </c>
      <c r="F21" s="31">
        <v>500</v>
      </c>
    </row>
    <row r="22" spans="1:7" ht="16.5" thickBot="1" x14ac:dyDescent="0.3">
      <c r="A22" s="5"/>
      <c r="B22" s="45" t="s">
        <v>44</v>
      </c>
      <c r="C22" s="43">
        <f>SUM(C23:C24)</f>
        <v>2500</v>
      </c>
      <c r="D22" s="43">
        <f>SUM(D23:D24)</f>
        <v>1209.0999999999999</v>
      </c>
      <c r="E22" s="43">
        <f>SUM(E23:E24)</f>
        <v>2418.1999999999998</v>
      </c>
      <c r="F22" s="43">
        <f>SUM(F23:F24)</f>
        <v>2500</v>
      </c>
    </row>
    <row r="23" spans="1:7" ht="15.75" x14ac:dyDescent="0.25">
      <c r="A23" s="5"/>
      <c r="B23" s="26" t="s">
        <v>45</v>
      </c>
      <c r="C23" s="27"/>
      <c r="D23" s="27"/>
      <c r="E23" s="27">
        <f>D23*2</f>
        <v>0</v>
      </c>
      <c r="F23" s="27"/>
    </row>
    <row r="24" spans="1:7" ht="15.75" x14ac:dyDescent="0.25">
      <c r="A24" s="5"/>
      <c r="B24" s="24" t="s">
        <v>24</v>
      </c>
      <c r="C24" s="25">
        <v>2500</v>
      </c>
      <c r="D24" s="25">
        <v>1209.0999999999999</v>
      </c>
      <c r="E24" s="27">
        <f t="shared" ref="E24" si="3">D24*2</f>
        <v>2418.1999999999998</v>
      </c>
      <c r="F24" s="25">
        <v>2500</v>
      </c>
    </row>
    <row r="25" spans="1:7" ht="16.5" thickBot="1" x14ac:dyDescent="0.3">
      <c r="A25" s="5"/>
      <c r="B25" s="22" t="s">
        <v>50</v>
      </c>
      <c r="C25" s="23">
        <f>C6+C9+C19+C22</f>
        <v>367462.02548250172</v>
      </c>
      <c r="D25" s="23">
        <f>D6+D9+D19+D22</f>
        <v>170653.12000000002</v>
      </c>
      <c r="E25" s="23">
        <f>E6+E9+E19+E22</f>
        <v>341306.24000000005</v>
      </c>
      <c r="F25" s="23">
        <f>F6+F9+F19+F22</f>
        <v>380265.61031076126</v>
      </c>
    </row>
    <row r="26" spans="1:7" ht="16.5" thickBot="1" x14ac:dyDescent="0.3">
      <c r="A26" s="5"/>
      <c r="B26" s="5"/>
      <c r="C26" s="13"/>
      <c r="D26" s="13"/>
      <c r="E26" s="13"/>
      <c r="F26" s="14"/>
    </row>
    <row r="27" spans="1:7" ht="51.75" thickBot="1" x14ac:dyDescent="0.3">
      <c r="A27" s="5"/>
      <c r="B27" s="36" t="s">
        <v>82</v>
      </c>
      <c r="C27" s="20" t="s">
        <v>67</v>
      </c>
      <c r="D27" s="20" t="s">
        <v>66</v>
      </c>
      <c r="E27" s="20" t="s">
        <v>70</v>
      </c>
      <c r="F27" s="21" t="s">
        <v>68</v>
      </c>
    </row>
    <row r="28" spans="1:7" ht="16.5" thickBot="1" x14ac:dyDescent="0.3">
      <c r="A28" s="5"/>
      <c r="B28" s="32" t="s">
        <v>13</v>
      </c>
      <c r="C28" s="34">
        <f>SUM(C29:C32)</f>
        <v>45000</v>
      </c>
      <c r="D28" s="34">
        <f t="shared" ref="D28:F28" si="4">SUM(D29:D32)</f>
        <v>9348.880000000001</v>
      </c>
      <c r="E28" s="34">
        <f t="shared" si="4"/>
        <v>18697.760000000002</v>
      </c>
      <c r="F28" s="34">
        <f t="shared" si="4"/>
        <v>46000</v>
      </c>
    </row>
    <row r="29" spans="1:7" ht="15.75" x14ac:dyDescent="0.25">
      <c r="A29" s="5"/>
      <c r="B29" s="24" t="s">
        <v>29</v>
      </c>
      <c r="C29" s="25"/>
      <c r="D29" s="25">
        <v>3445</v>
      </c>
      <c r="E29" s="27">
        <f t="shared" ref="E29:E31" si="5">D29*2</f>
        <v>6890</v>
      </c>
      <c r="F29" s="25">
        <v>0</v>
      </c>
    </row>
    <row r="30" spans="1:7" ht="15.75" x14ac:dyDescent="0.25">
      <c r="A30" s="5"/>
      <c r="B30" s="24" t="s">
        <v>36</v>
      </c>
      <c r="C30" s="25">
        <v>10000</v>
      </c>
      <c r="D30" s="25">
        <v>5309.88</v>
      </c>
      <c r="E30" s="27">
        <f t="shared" si="5"/>
        <v>10619.76</v>
      </c>
      <c r="F30" s="25">
        <v>11000</v>
      </c>
      <c r="G30" t="s">
        <v>85</v>
      </c>
    </row>
    <row r="31" spans="1:7" ht="15.75" x14ac:dyDescent="0.25">
      <c r="A31" s="5"/>
      <c r="B31" s="24" t="s">
        <v>37</v>
      </c>
      <c r="C31" s="25">
        <v>10000</v>
      </c>
      <c r="D31" s="25">
        <v>594</v>
      </c>
      <c r="E31" s="27">
        <f t="shared" si="5"/>
        <v>1188</v>
      </c>
      <c r="F31" s="25">
        <v>10000</v>
      </c>
      <c r="G31" t="s">
        <v>84</v>
      </c>
    </row>
    <row r="32" spans="1:7" ht="15.75" x14ac:dyDescent="0.25">
      <c r="A32" s="5"/>
      <c r="B32" s="24" t="s">
        <v>39</v>
      </c>
      <c r="C32" s="25">
        <v>25000</v>
      </c>
      <c r="D32" s="25"/>
      <c r="E32" s="25"/>
      <c r="F32" s="25">
        <v>25000</v>
      </c>
    </row>
    <row r="33" spans="1:7" ht="16.5" thickBot="1" x14ac:dyDescent="0.3">
      <c r="A33" s="5"/>
      <c r="B33" s="46" t="s">
        <v>44</v>
      </c>
      <c r="C33" s="47">
        <f>SUM(C34:C39)</f>
        <v>295000</v>
      </c>
      <c r="D33" s="47">
        <f t="shared" ref="D33:F33" si="6">SUM(D34:D39)</f>
        <v>83077.279999999999</v>
      </c>
      <c r="E33" s="47">
        <f t="shared" si="6"/>
        <v>166154.56</v>
      </c>
      <c r="F33" s="47">
        <f t="shared" si="6"/>
        <v>200000</v>
      </c>
    </row>
    <row r="34" spans="1:7" ht="15.75" x14ac:dyDescent="0.25">
      <c r="A34" s="5"/>
      <c r="B34" s="26" t="s">
        <v>45</v>
      </c>
      <c r="C34" s="27">
        <v>168000</v>
      </c>
      <c r="D34" s="27">
        <v>57660.12</v>
      </c>
      <c r="E34" s="27">
        <f>D34*2</f>
        <v>115320.24</v>
      </c>
      <c r="F34" s="27">
        <v>125000</v>
      </c>
    </row>
    <row r="35" spans="1:7" ht="15.75" x14ac:dyDescent="0.25">
      <c r="A35" s="5"/>
      <c r="B35" s="24" t="s">
        <v>24</v>
      </c>
      <c r="C35" s="25">
        <v>2000</v>
      </c>
      <c r="D35" s="25">
        <v>0</v>
      </c>
      <c r="E35" s="27">
        <f t="shared" ref="E35:E39" si="7">D35*2</f>
        <v>0</v>
      </c>
      <c r="F35" s="25">
        <v>2000</v>
      </c>
    </row>
    <row r="36" spans="1:7" ht="15.75" x14ac:dyDescent="0.25">
      <c r="A36" s="5"/>
      <c r="B36" s="24" t="s">
        <v>46</v>
      </c>
      <c r="C36" s="25">
        <v>3000</v>
      </c>
      <c r="D36" s="25">
        <v>1350</v>
      </c>
      <c r="E36" s="27">
        <f t="shared" si="7"/>
        <v>2700</v>
      </c>
      <c r="F36" s="25">
        <v>3000</v>
      </c>
    </row>
    <row r="37" spans="1:7" ht="15.75" x14ac:dyDescent="0.25">
      <c r="A37" s="5"/>
      <c r="B37" s="24" t="s">
        <v>47</v>
      </c>
      <c r="C37" s="25">
        <v>96000</v>
      </c>
      <c r="D37" s="25">
        <v>15497.33</v>
      </c>
      <c r="E37" s="27">
        <f t="shared" si="7"/>
        <v>30994.66</v>
      </c>
      <c r="F37" s="25">
        <v>50000</v>
      </c>
    </row>
    <row r="38" spans="1:7" ht="15.75" x14ac:dyDescent="0.25">
      <c r="A38" s="5"/>
      <c r="B38" s="24" t="s">
        <v>48</v>
      </c>
      <c r="C38" s="25">
        <v>17000</v>
      </c>
      <c r="D38" s="25">
        <v>5494.48</v>
      </c>
      <c r="E38" s="27">
        <f t="shared" si="7"/>
        <v>10988.96</v>
      </c>
      <c r="F38" s="25">
        <v>12000</v>
      </c>
      <c r="G38" t="s">
        <v>86</v>
      </c>
    </row>
    <row r="39" spans="1:7" ht="15.75" x14ac:dyDescent="0.25">
      <c r="A39" s="5"/>
      <c r="B39" s="24" t="s">
        <v>49</v>
      </c>
      <c r="C39" s="25">
        <v>9000</v>
      </c>
      <c r="D39" s="25">
        <v>3075.35</v>
      </c>
      <c r="E39" s="27">
        <f t="shared" si="7"/>
        <v>6150.7</v>
      </c>
      <c r="F39" s="25">
        <v>8000</v>
      </c>
    </row>
    <row r="40" spans="1:7" ht="16.5" thickBot="1" x14ac:dyDescent="0.3">
      <c r="A40" s="5"/>
      <c r="B40" s="22" t="s">
        <v>50</v>
      </c>
      <c r="C40" s="23">
        <f>C28+C33</f>
        <v>340000</v>
      </c>
      <c r="D40" s="23">
        <f>D28+D33</f>
        <v>92426.16</v>
      </c>
      <c r="E40" s="23">
        <f>E28+E33</f>
        <v>184852.32</v>
      </c>
      <c r="F40" s="23">
        <f>F28+F33</f>
        <v>246000</v>
      </c>
    </row>
    <row r="41" spans="1:7" ht="15.75" x14ac:dyDescent="0.25">
      <c r="A41" s="5"/>
      <c r="B41" s="5"/>
      <c r="C41" s="13"/>
      <c r="D41" s="13"/>
      <c r="E41" s="13"/>
      <c r="F41" s="14"/>
    </row>
    <row r="42" spans="1:7" ht="15.75" x14ac:dyDescent="0.25">
      <c r="A42" s="5"/>
      <c r="B42" s="5"/>
      <c r="C42" s="13"/>
      <c r="D42" s="13"/>
      <c r="E42" s="13"/>
      <c r="F42" s="14"/>
    </row>
    <row r="43" spans="1:7" ht="15.75" x14ac:dyDescent="0.25">
      <c r="A43" s="5"/>
      <c r="B43" s="5"/>
      <c r="C43" s="13"/>
      <c r="D43" s="13"/>
      <c r="E43" s="13"/>
      <c r="F43" s="14"/>
    </row>
    <row r="44" spans="1:7" ht="15.75" x14ac:dyDescent="0.25">
      <c r="A44" s="5"/>
      <c r="B44" s="5"/>
      <c r="C44" s="13"/>
      <c r="D44" s="13"/>
      <c r="E44" s="13"/>
      <c r="F44" s="14"/>
    </row>
    <row r="45" spans="1:7" ht="15.75" x14ac:dyDescent="0.25">
      <c r="A45" s="5"/>
      <c r="B45" s="5"/>
      <c r="C45" s="13"/>
      <c r="D45" s="13"/>
      <c r="E45" s="13"/>
      <c r="F45" s="14"/>
    </row>
    <row r="46" spans="1:7" ht="15.75" x14ac:dyDescent="0.25">
      <c r="A46" s="5"/>
      <c r="B46" s="5"/>
      <c r="C46" s="13"/>
      <c r="D46" s="13"/>
      <c r="E46" s="13"/>
      <c r="F46" s="14"/>
    </row>
    <row r="47" spans="1:7" ht="15.75" x14ac:dyDescent="0.25">
      <c r="A47" s="5"/>
      <c r="B47" s="5"/>
      <c r="C47" s="13"/>
      <c r="D47" s="13"/>
      <c r="E47" s="13"/>
      <c r="F47" s="14"/>
    </row>
    <row r="48" spans="1:7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3"/>
    </row>
    <row r="250" spans="1:6" ht="15.75" x14ac:dyDescent="0.25">
      <c r="A250" s="5"/>
      <c r="B250" s="5"/>
      <c r="C250" s="13"/>
      <c r="D250" s="13"/>
      <c r="E250" s="13"/>
      <c r="F250" s="13"/>
    </row>
    <row r="251" spans="1:6" ht="15.75" x14ac:dyDescent="0.25">
      <c r="A251" s="5"/>
      <c r="B251" s="5"/>
      <c r="C251" s="13"/>
      <c r="D251" s="13"/>
      <c r="E251" s="13"/>
      <c r="F251" s="13"/>
    </row>
    <row r="252" spans="1:6" ht="15.75" x14ac:dyDescent="0.25">
      <c r="A252" s="5"/>
      <c r="B252" s="5"/>
      <c r="C252" s="13"/>
      <c r="D252" s="13"/>
      <c r="E252" s="13"/>
      <c r="F252" s="13"/>
    </row>
    <row r="253" spans="1:6" ht="15.75" x14ac:dyDescent="0.25">
      <c r="A253" s="5"/>
      <c r="B253" s="5"/>
      <c r="C253" s="13"/>
      <c r="D253" s="13"/>
      <c r="E253" s="13"/>
      <c r="F253" s="13"/>
    </row>
    <row r="254" spans="1:6" ht="15.75" x14ac:dyDescent="0.25">
      <c r="A254" s="5"/>
      <c r="B254" s="5"/>
      <c r="C254" s="13"/>
      <c r="D254" s="13"/>
      <c r="E254" s="13"/>
      <c r="F254" s="13"/>
    </row>
    <row r="255" spans="1:6" ht="15.75" x14ac:dyDescent="0.25">
      <c r="A255" s="5"/>
      <c r="B255" s="5"/>
      <c r="C255" s="13"/>
      <c r="D255" s="13"/>
      <c r="E255" s="13"/>
      <c r="F255" s="13"/>
    </row>
    <row r="256" spans="1:6" ht="15.75" x14ac:dyDescent="0.25">
      <c r="A256" s="5"/>
      <c r="B256" s="5"/>
      <c r="C256" s="13"/>
      <c r="D256" s="13"/>
      <c r="E256" s="13"/>
      <c r="F256" s="13"/>
    </row>
    <row r="257" spans="1:6" ht="15.75" x14ac:dyDescent="0.25">
      <c r="A257" s="5"/>
      <c r="B257" s="5"/>
      <c r="C257" s="13"/>
      <c r="D257" s="13"/>
      <c r="E257" s="13"/>
      <c r="F257" s="13"/>
    </row>
    <row r="258" spans="1:6" ht="15.75" x14ac:dyDescent="0.25">
      <c r="A258" s="5"/>
      <c r="B258" s="5"/>
      <c r="C258" s="13"/>
      <c r="D258" s="13"/>
      <c r="E258" s="13"/>
      <c r="F258" s="13"/>
    </row>
    <row r="259" spans="1:6" ht="15.75" x14ac:dyDescent="0.25">
      <c r="A259" s="5"/>
      <c r="B259" s="5"/>
      <c r="C259" s="13"/>
      <c r="D259" s="13"/>
      <c r="E259" s="13"/>
      <c r="F259" s="13"/>
    </row>
    <row r="260" spans="1:6" ht="15.75" x14ac:dyDescent="0.25">
      <c r="A260" s="5"/>
      <c r="B260" s="5"/>
      <c r="C260" s="13"/>
      <c r="D260" s="13"/>
      <c r="E260" s="13"/>
      <c r="F260" s="13"/>
    </row>
    <row r="261" spans="1:6" ht="15.75" x14ac:dyDescent="0.25">
      <c r="A261" s="5"/>
      <c r="B261" s="5"/>
      <c r="C261" s="13"/>
      <c r="D261" s="13"/>
      <c r="E261" s="13"/>
      <c r="F261" s="13"/>
    </row>
    <row r="262" spans="1:6" ht="15.75" x14ac:dyDescent="0.25">
      <c r="A262" s="5"/>
      <c r="B262" s="5"/>
      <c r="C262" s="13"/>
      <c r="D262" s="13"/>
      <c r="E262" s="13"/>
      <c r="F262" s="13"/>
    </row>
    <row r="263" spans="1:6" ht="15.75" x14ac:dyDescent="0.25">
      <c r="A263" s="5"/>
      <c r="B263" s="5"/>
      <c r="C263" s="13"/>
      <c r="D263" s="13"/>
      <c r="E263" s="13"/>
      <c r="F263" s="13"/>
    </row>
    <row r="264" spans="1:6" ht="15.75" x14ac:dyDescent="0.25">
      <c r="A264" s="5"/>
      <c r="B264" s="5"/>
      <c r="C264" s="13"/>
      <c r="D264" s="13"/>
      <c r="E264" s="13"/>
      <c r="F264" s="13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</sheetData>
  <autoFilter ref="B5:F25" xr:uid="{64F5ABAA-8D38-4E3D-AADC-78C7344CE7D1}"/>
  <pageMargins left="0.17" right="0.17" top="0.75" bottom="0.23" header="0.3" footer="0.3"/>
  <pageSetup scale="6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24A5-7052-4043-B6A6-3D085338A270}">
  <sheetPr>
    <pageSetUpPr fitToPage="1"/>
  </sheetPr>
  <dimension ref="A2:I559"/>
  <sheetViews>
    <sheetView topLeftCell="A3" zoomScale="130" zoomScaleNormal="130" workbookViewId="0">
      <selection activeCell="G17" sqref="G17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4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1.5</v>
      </c>
    </row>
    <row r="6" spans="1:9" ht="16.5" thickBot="1" x14ac:dyDescent="0.3">
      <c r="A6" s="4"/>
      <c r="B6" s="28" t="s">
        <v>10</v>
      </c>
      <c r="C6" s="29">
        <f>SUM(C7:C8)</f>
        <v>100953.78071210458</v>
      </c>
      <c r="D6" s="29">
        <f>SUM(D7:D8)</f>
        <v>58548.369999999995</v>
      </c>
      <c r="E6" s="29">
        <f>SUM(E7:E8)</f>
        <v>117096.73999999999</v>
      </c>
      <c r="F6" s="29">
        <f>SUM(F7:F8)</f>
        <v>115561.12861926961</v>
      </c>
    </row>
    <row r="7" spans="1:9" ht="15.75" x14ac:dyDescent="0.25">
      <c r="A7" s="5"/>
      <c r="B7" s="26" t="s">
        <v>11</v>
      </c>
      <c r="C7" s="27">
        <v>78536.252730683191</v>
      </c>
      <c r="D7" s="27">
        <v>45510.32</v>
      </c>
      <c r="E7" s="27">
        <f t="shared" ref="E7:E8" si="0">D7*2</f>
        <v>91020.64</v>
      </c>
      <c r="F7" s="27">
        <v>90056.019086400003</v>
      </c>
    </row>
    <row r="8" spans="1:9" ht="24" thickBot="1" x14ac:dyDescent="0.4">
      <c r="A8" s="5"/>
      <c r="B8" s="30" t="s">
        <v>12</v>
      </c>
      <c r="C8" s="31">
        <v>22417.527981421379</v>
      </c>
      <c r="D8" s="31">
        <v>13038.05</v>
      </c>
      <c r="E8" s="27">
        <f t="shared" si="0"/>
        <v>26076.1</v>
      </c>
      <c r="F8" s="31">
        <v>25505.109532869603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 t="shared" ref="C9:E9" si="1">SUM(C10:C15)</f>
        <v>8700</v>
      </c>
      <c r="D9" s="34">
        <f t="shared" si="1"/>
        <v>2818.31</v>
      </c>
      <c r="E9" s="34">
        <f t="shared" si="1"/>
        <v>5636.62</v>
      </c>
      <c r="F9" s="34">
        <f>SUM(F10:F15)</f>
        <v>6900</v>
      </c>
    </row>
    <row r="10" spans="1:9" ht="15.75" x14ac:dyDescent="0.25">
      <c r="A10" s="5"/>
      <c r="B10" s="24" t="s">
        <v>18</v>
      </c>
      <c r="C10" s="25">
        <v>300</v>
      </c>
      <c r="D10" s="25"/>
      <c r="E10" s="27">
        <f t="shared" ref="E10:E18" si="2">D10*2</f>
        <v>0</v>
      </c>
      <c r="F10" s="25">
        <v>600</v>
      </c>
      <c r="G10" t="s">
        <v>312</v>
      </c>
    </row>
    <row r="11" spans="1:9" ht="15.75" x14ac:dyDescent="0.25">
      <c r="A11" s="5"/>
      <c r="B11" s="24" t="s">
        <v>22</v>
      </c>
      <c r="C11" s="25">
        <v>1500</v>
      </c>
      <c r="D11" s="25">
        <v>110.5</v>
      </c>
      <c r="E11" s="27">
        <f t="shared" si="2"/>
        <v>221</v>
      </c>
      <c r="F11" s="25">
        <v>1500</v>
      </c>
    </row>
    <row r="12" spans="1:9" ht="15.75" x14ac:dyDescent="0.25">
      <c r="A12" s="5"/>
      <c r="B12" s="24" t="s">
        <v>29</v>
      </c>
      <c r="C12" s="25">
        <v>1500</v>
      </c>
      <c r="D12" s="25">
        <v>1269.23</v>
      </c>
      <c r="E12" s="27">
        <f t="shared" si="2"/>
        <v>2538.46</v>
      </c>
      <c r="F12" s="25">
        <v>1500</v>
      </c>
    </row>
    <row r="13" spans="1:9" ht="15.75" x14ac:dyDescent="0.25">
      <c r="A13" s="5"/>
      <c r="B13" s="24" t="s">
        <v>30</v>
      </c>
      <c r="C13" s="25">
        <v>3000</v>
      </c>
      <c r="D13" s="25">
        <v>1438.58</v>
      </c>
      <c r="E13" s="27">
        <f t="shared" si="2"/>
        <v>2877.16</v>
      </c>
      <c r="F13" s="25">
        <v>3000</v>
      </c>
    </row>
    <row r="14" spans="1:9" ht="15.75" x14ac:dyDescent="0.25">
      <c r="A14" s="5"/>
      <c r="B14" s="24" t="s">
        <v>34</v>
      </c>
      <c r="C14" s="25">
        <v>2400</v>
      </c>
      <c r="D14" s="25"/>
      <c r="E14" s="27">
        <f t="shared" si="2"/>
        <v>0</v>
      </c>
      <c r="F14" s="25">
        <v>0</v>
      </c>
      <c r="G14" t="s">
        <v>72</v>
      </c>
    </row>
    <row r="15" spans="1:9" ht="16.5" thickBot="1" x14ac:dyDescent="0.3">
      <c r="A15" s="5"/>
      <c r="B15" s="131" t="s">
        <v>37</v>
      </c>
      <c r="C15" s="35">
        <v>0</v>
      </c>
      <c r="D15" s="35">
        <v>0</v>
      </c>
      <c r="E15" s="35">
        <v>0</v>
      </c>
      <c r="F15" s="132">
        <v>300</v>
      </c>
      <c r="G15" t="s">
        <v>311</v>
      </c>
    </row>
    <row r="16" spans="1:9" ht="16.5" thickBot="1" x14ac:dyDescent="0.3">
      <c r="A16" s="4"/>
      <c r="B16" s="32" t="s">
        <v>41</v>
      </c>
      <c r="C16" s="33">
        <f t="shared" ref="C16:E16" si="3">SUM(C17:C18)</f>
        <v>2500</v>
      </c>
      <c r="D16" s="33">
        <f t="shared" si="3"/>
        <v>85</v>
      </c>
      <c r="E16" s="33">
        <f t="shared" si="3"/>
        <v>170</v>
      </c>
      <c r="F16" s="34">
        <f>SUM(F17:F18)</f>
        <v>2500</v>
      </c>
    </row>
    <row r="17" spans="1:7" ht="15.75" x14ac:dyDescent="0.25">
      <c r="A17" s="5"/>
      <c r="B17" s="26" t="s">
        <v>42</v>
      </c>
      <c r="C17" s="41">
        <v>2000</v>
      </c>
      <c r="D17" s="27">
        <v>85</v>
      </c>
      <c r="E17" s="27">
        <f t="shared" si="2"/>
        <v>170</v>
      </c>
      <c r="F17" s="27">
        <v>2000</v>
      </c>
      <c r="G17" t="s">
        <v>313</v>
      </c>
    </row>
    <row r="18" spans="1:7" ht="16.5" thickBot="1" x14ac:dyDescent="0.3">
      <c r="A18" s="5"/>
      <c r="B18" s="30" t="s">
        <v>43</v>
      </c>
      <c r="C18" s="31">
        <v>500</v>
      </c>
      <c r="D18" s="31"/>
      <c r="E18" s="27">
        <f t="shared" si="2"/>
        <v>0</v>
      </c>
      <c r="F18" s="31">
        <v>500</v>
      </c>
    </row>
    <row r="19" spans="1:7" ht="16.5" thickBot="1" x14ac:dyDescent="0.3">
      <c r="A19" s="5"/>
      <c r="B19" s="17" t="s">
        <v>50</v>
      </c>
      <c r="C19" s="18">
        <f>C6+C9+C16</f>
        <v>112153.78071210458</v>
      </c>
      <c r="D19" s="18">
        <f>D6+D9+D16</f>
        <v>61451.679999999993</v>
      </c>
      <c r="E19" s="18">
        <f>E6+E9+E16</f>
        <v>122903.35999999999</v>
      </c>
      <c r="F19" s="18">
        <f>F6+F9+F16</f>
        <v>124961.12861926961</v>
      </c>
    </row>
    <row r="20" spans="1:7" ht="15.75" x14ac:dyDescent="0.25">
      <c r="A20" s="5"/>
      <c r="B20" s="5"/>
      <c r="C20" s="13"/>
      <c r="D20" s="13"/>
      <c r="E20" s="13"/>
      <c r="F20" s="14"/>
    </row>
    <row r="21" spans="1:7" ht="15.75" x14ac:dyDescent="0.25">
      <c r="A21" s="5"/>
      <c r="B21" s="5"/>
      <c r="C21" s="13"/>
      <c r="D21" s="13"/>
      <c r="E21" s="13"/>
      <c r="F21" s="14">
        <v>124661.13</v>
      </c>
    </row>
    <row r="22" spans="1:7" ht="15.75" x14ac:dyDescent="0.25">
      <c r="A22" s="5"/>
      <c r="B22" s="5"/>
      <c r="C22" s="13"/>
      <c r="D22" s="13"/>
      <c r="E22" s="13"/>
      <c r="F22" s="14">
        <f>F19-F21</f>
        <v>299.99861926960875</v>
      </c>
    </row>
    <row r="23" spans="1:7" ht="15.75" x14ac:dyDescent="0.25">
      <c r="A23" s="5"/>
      <c r="B23" s="5"/>
      <c r="C23" s="13"/>
      <c r="D23" s="13"/>
      <c r="E23" s="13"/>
      <c r="F23" s="14"/>
    </row>
    <row r="24" spans="1:7" ht="15.75" x14ac:dyDescent="0.25">
      <c r="A24" s="5"/>
      <c r="B24" s="5"/>
      <c r="C24" s="13"/>
      <c r="D24" s="13"/>
      <c r="E24" s="13"/>
      <c r="F24" s="14"/>
    </row>
    <row r="25" spans="1:7" ht="15.75" x14ac:dyDescent="0.25">
      <c r="A25" s="5"/>
      <c r="B25" s="5"/>
      <c r="C25" s="13"/>
      <c r="D25" s="13"/>
      <c r="E25" s="13"/>
      <c r="F25" s="14"/>
    </row>
    <row r="26" spans="1:7" ht="15.75" x14ac:dyDescent="0.25">
      <c r="A26" s="5"/>
      <c r="B26" s="5"/>
      <c r="C26" s="13"/>
      <c r="D26" s="13"/>
      <c r="E26" s="13"/>
      <c r="F26" s="14"/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</sheetData>
  <autoFilter ref="B5:F19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9C6A-C6E9-4F1B-9A3D-6DC3DCBB3303}">
  <sheetPr>
    <pageSetUpPr fitToPage="1"/>
  </sheetPr>
  <dimension ref="A2:I557"/>
  <sheetViews>
    <sheetView workbookViewId="0">
      <selection activeCell="B6" sqref="B6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71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0.75</v>
      </c>
    </row>
    <row r="6" spans="1:9" ht="16.5" thickBot="1" x14ac:dyDescent="0.3">
      <c r="A6" s="4"/>
      <c r="B6" s="28" t="s">
        <v>10</v>
      </c>
      <c r="C6" s="29">
        <f>SUM(C7:C8)</f>
        <v>63766.544038997643</v>
      </c>
      <c r="D6" s="29">
        <f>SUM(D7:D8)</f>
        <v>41593.68</v>
      </c>
      <c r="E6" s="29">
        <f>SUM(E7:E8)</f>
        <v>83187.360000000001</v>
      </c>
      <c r="F6" s="29">
        <f>SUM(F7:F8)</f>
        <v>100575.10022364644</v>
      </c>
    </row>
    <row r="7" spans="1:9" ht="15.75" x14ac:dyDescent="0.25">
      <c r="A7" s="5"/>
      <c r="B7" s="26" t="s">
        <v>11</v>
      </c>
      <c r="C7" s="27">
        <v>48378.780893949996</v>
      </c>
      <c r="D7" s="27">
        <v>26322.37</v>
      </c>
      <c r="E7" s="27">
        <f t="shared" ref="E7:E8" si="0">D7*2</f>
        <v>52644.74</v>
      </c>
      <c r="F7" s="27">
        <v>78939.430236233035</v>
      </c>
    </row>
    <row r="8" spans="1:9" ht="24" thickBot="1" x14ac:dyDescent="0.4">
      <c r="A8" s="5"/>
      <c r="B8" s="30" t="s">
        <v>12</v>
      </c>
      <c r="C8" s="31">
        <v>15387.763145047649</v>
      </c>
      <c r="D8" s="31">
        <v>15271.31</v>
      </c>
      <c r="E8" s="27">
        <f t="shared" si="0"/>
        <v>30542.62</v>
      </c>
      <c r="F8" s="31">
        <v>21635.66998741341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SUM(C10:C13)</f>
        <v>1000</v>
      </c>
      <c r="D9" s="34">
        <f>SUM(D10:D13)</f>
        <v>80.16</v>
      </c>
      <c r="E9" s="34">
        <f>SUM(E10:E13)</f>
        <v>160.32</v>
      </c>
      <c r="F9" s="34">
        <f>SUM(F10:F13)</f>
        <v>1000</v>
      </c>
    </row>
    <row r="10" spans="1:9" ht="15.75" x14ac:dyDescent="0.25">
      <c r="A10" s="5"/>
      <c r="B10" s="24" t="s">
        <v>18</v>
      </c>
      <c r="C10" s="25">
        <v>400</v>
      </c>
      <c r="D10" s="25"/>
      <c r="E10" s="27">
        <f t="shared" ref="E10:E16" si="1">D10*2</f>
        <v>0</v>
      </c>
      <c r="F10" s="25">
        <v>400</v>
      </c>
    </row>
    <row r="11" spans="1:9" ht="15.75" x14ac:dyDescent="0.25">
      <c r="A11" s="5"/>
      <c r="B11" s="24" t="s">
        <v>28</v>
      </c>
      <c r="C11" s="25">
        <v>250</v>
      </c>
      <c r="D11" s="25"/>
      <c r="E11" s="27">
        <f t="shared" si="1"/>
        <v>0</v>
      </c>
      <c r="F11" s="25">
        <v>250</v>
      </c>
    </row>
    <row r="12" spans="1:9" ht="15.75" x14ac:dyDescent="0.25">
      <c r="A12" s="5"/>
      <c r="B12" s="24" t="s">
        <v>29</v>
      </c>
      <c r="C12" s="25">
        <v>100</v>
      </c>
      <c r="D12" s="25">
        <v>15.17</v>
      </c>
      <c r="E12" s="27">
        <f t="shared" si="1"/>
        <v>30.34</v>
      </c>
      <c r="F12" s="25">
        <v>100</v>
      </c>
    </row>
    <row r="13" spans="1:9" ht="16.5" thickBot="1" x14ac:dyDescent="0.3">
      <c r="A13" s="5"/>
      <c r="B13" s="24" t="s">
        <v>30</v>
      </c>
      <c r="C13" s="25">
        <v>250</v>
      </c>
      <c r="D13" s="25">
        <v>64.989999999999995</v>
      </c>
      <c r="E13" s="27">
        <f t="shared" si="1"/>
        <v>129.97999999999999</v>
      </c>
      <c r="F13" s="25">
        <v>250</v>
      </c>
    </row>
    <row r="14" spans="1:9" ht="16.5" thickBot="1" x14ac:dyDescent="0.3">
      <c r="A14" s="4"/>
      <c r="B14" s="32" t="s">
        <v>41</v>
      </c>
      <c r="C14" s="33">
        <f t="shared" ref="C14:E14" si="2">SUM(C15:C16)</f>
        <v>2000</v>
      </c>
      <c r="D14" s="33">
        <f t="shared" si="2"/>
        <v>200</v>
      </c>
      <c r="E14" s="33">
        <f t="shared" si="2"/>
        <v>400</v>
      </c>
      <c r="F14" s="34">
        <f>SUM(F15:F16)</f>
        <v>2000</v>
      </c>
    </row>
    <row r="15" spans="1:9" ht="15.75" x14ac:dyDescent="0.25">
      <c r="A15" s="5"/>
      <c r="B15" s="26" t="s">
        <v>42</v>
      </c>
      <c r="C15" s="27">
        <v>1000</v>
      </c>
      <c r="D15" s="27">
        <v>200</v>
      </c>
      <c r="E15" s="27">
        <f t="shared" si="1"/>
        <v>400</v>
      </c>
      <c r="F15" s="27">
        <v>1000</v>
      </c>
    </row>
    <row r="16" spans="1:9" ht="16.5" thickBot="1" x14ac:dyDescent="0.3">
      <c r="A16" s="5"/>
      <c r="B16" s="30" t="s">
        <v>43</v>
      </c>
      <c r="C16" s="31">
        <v>1000</v>
      </c>
      <c r="D16" s="31">
        <v>0</v>
      </c>
      <c r="E16" s="27">
        <f t="shared" si="1"/>
        <v>0</v>
      </c>
      <c r="F16" s="31">
        <v>1000</v>
      </c>
    </row>
    <row r="17" spans="1:6" ht="16.5" thickBot="1" x14ac:dyDescent="0.3">
      <c r="A17" s="5"/>
      <c r="B17" s="17" t="s">
        <v>50</v>
      </c>
      <c r="C17" s="18">
        <f>C6+C9+C14</f>
        <v>66766.544038997643</v>
      </c>
      <c r="D17" s="18">
        <f>D6+D9+D14</f>
        <v>41873.840000000004</v>
      </c>
      <c r="E17" s="18">
        <f>E6+E9+E14</f>
        <v>83747.680000000008</v>
      </c>
      <c r="F17" s="18">
        <f>F6+F9+F14</f>
        <v>103575.10022364644</v>
      </c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</sheetData>
  <autoFilter ref="B5:F17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1D0B-4EB2-46ED-B6AE-1646C2463808}">
  <sheetPr>
    <pageSetUpPr fitToPage="1"/>
  </sheetPr>
  <dimension ref="A1:T594"/>
  <sheetViews>
    <sheetView tabSelected="1" topLeftCell="B17" workbookViewId="0">
      <selection activeCell="E47" sqref="E47"/>
    </sheetView>
  </sheetViews>
  <sheetFormatPr defaultRowHeight="15" x14ac:dyDescent="0.25"/>
  <cols>
    <col min="1" max="1" width="2.42578125" hidden="1" customWidth="1"/>
    <col min="2" max="2" width="31.140625" customWidth="1"/>
    <col min="3" max="3" width="12.7109375" style="3" bestFit="1" customWidth="1"/>
    <col min="4" max="4" width="14" customWidth="1"/>
    <col min="5" max="5" width="15.85546875" customWidth="1"/>
    <col min="6" max="6" width="13.5703125" bestFit="1" customWidth="1"/>
    <col min="7" max="7" width="12.42578125" customWidth="1"/>
    <col min="8" max="9" width="11.7109375" bestFit="1" customWidth="1"/>
    <col min="10" max="10" width="12.7109375" customWidth="1"/>
    <col min="11" max="11" width="22.42578125" customWidth="1"/>
    <col min="12" max="12" width="14.28515625" bestFit="1" customWidth="1"/>
    <col min="13" max="13" width="10.140625" bestFit="1" customWidth="1"/>
    <col min="14" max="14" width="18.140625" bestFit="1" customWidth="1"/>
    <col min="15" max="15" width="12.7109375" bestFit="1" customWidth="1"/>
    <col min="16" max="16" width="10.140625" bestFit="1" customWidth="1"/>
    <col min="17" max="17" width="15.140625" customWidth="1"/>
    <col min="18" max="18" width="1.28515625" customWidth="1"/>
    <col min="19" max="19" width="12.7109375" bestFit="1" customWidth="1"/>
  </cols>
  <sheetData>
    <row r="1" spans="2:20" x14ac:dyDescent="0.25">
      <c r="J1" t="s">
        <v>332</v>
      </c>
      <c r="L1" s="6">
        <f>S13</f>
        <v>13159645.093120001</v>
      </c>
    </row>
    <row r="2" spans="2:20" x14ac:dyDescent="0.25">
      <c r="J2" t="s">
        <v>333</v>
      </c>
      <c r="L2" s="97">
        <f>G56</f>
        <v>584500</v>
      </c>
    </row>
    <row r="3" spans="2:20" x14ac:dyDescent="0.25">
      <c r="J3" s="194" t="s">
        <v>334</v>
      </c>
      <c r="K3" s="194"/>
      <c r="L3" s="195">
        <f>S45+'NONREVENUE DEPTS'!V55</f>
        <v>22264414.221533418</v>
      </c>
    </row>
    <row r="4" spans="2:20" x14ac:dyDescent="0.25">
      <c r="J4" s="196" t="s">
        <v>335</v>
      </c>
      <c r="K4" s="196"/>
      <c r="L4" s="197">
        <f>L1+L2-L3</f>
        <v>-8520269.1284134164</v>
      </c>
    </row>
    <row r="5" spans="2:20" x14ac:dyDescent="0.25">
      <c r="L5" s="97"/>
    </row>
    <row r="6" spans="2:20" s="1" customFormat="1" ht="24.75" customHeight="1" x14ac:dyDescent="0.4">
      <c r="C6" s="133" t="s">
        <v>0</v>
      </c>
      <c r="D6" s="133"/>
      <c r="E6" s="133"/>
      <c r="F6" s="133"/>
      <c r="G6" s="133"/>
      <c r="J6" t="s">
        <v>336</v>
      </c>
      <c r="K6"/>
      <c r="L6" s="6">
        <f>O57</f>
        <v>8246017.1098490003</v>
      </c>
      <c r="M6"/>
    </row>
    <row r="7" spans="2:20" s="2" customFormat="1" ht="25.5" customHeight="1" x14ac:dyDescent="0.5">
      <c r="C7" s="279" t="s">
        <v>1</v>
      </c>
      <c r="D7" s="279"/>
      <c r="E7" s="279"/>
      <c r="F7" s="279"/>
      <c r="G7" s="279"/>
      <c r="H7" s="279"/>
      <c r="I7" s="135"/>
      <c r="J7" s="198" t="s">
        <v>337</v>
      </c>
      <c r="K7" s="198"/>
      <c r="L7" s="199">
        <f>L6+L4</f>
        <v>-274252.0185644161</v>
      </c>
      <c r="M7" s="200"/>
      <c r="N7" s="201"/>
      <c r="O7" s="135"/>
      <c r="P7" s="135"/>
      <c r="Q7" s="135"/>
      <c r="R7" s="135"/>
      <c r="S7" s="135"/>
    </row>
    <row r="8" spans="2:20" ht="16.5" customHeight="1" x14ac:dyDescent="0.5"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r="9" spans="2:20" s="3" customFormat="1" x14ac:dyDescent="0.25">
      <c r="B9" s="137"/>
      <c r="C9" s="140" t="s">
        <v>143</v>
      </c>
      <c r="D9" s="140" t="s">
        <v>141</v>
      </c>
      <c r="E9" s="140" t="s">
        <v>146</v>
      </c>
      <c r="F9" s="140" t="s">
        <v>338</v>
      </c>
      <c r="G9" s="140" t="s">
        <v>161</v>
      </c>
      <c r="H9" s="140" t="s">
        <v>166</v>
      </c>
      <c r="I9" s="140" t="s">
        <v>339</v>
      </c>
      <c r="J9" s="140" t="s">
        <v>171</v>
      </c>
      <c r="K9" s="140" t="s">
        <v>175</v>
      </c>
      <c r="L9" s="140" t="s">
        <v>340</v>
      </c>
      <c r="M9" s="140" t="s">
        <v>341</v>
      </c>
      <c r="N9" s="140" t="s">
        <v>342</v>
      </c>
      <c r="O9" s="140" t="s">
        <v>182</v>
      </c>
      <c r="P9" s="140" t="s">
        <v>343</v>
      </c>
      <c r="Q9" s="140" t="s">
        <v>190</v>
      </c>
      <c r="R9" s="140"/>
      <c r="S9" s="140" t="s">
        <v>324</v>
      </c>
    </row>
    <row r="10" spans="2:20" s="4" customFormat="1" ht="15.75" x14ac:dyDescent="0.25">
      <c r="B10" s="141" t="s">
        <v>126</v>
      </c>
      <c r="C10" s="144">
        <v>1088008.3799999999</v>
      </c>
      <c r="D10" s="144">
        <v>608893.38</v>
      </c>
      <c r="E10" s="144">
        <v>2692218.0999999996</v>
      </c>
      <c r="F10" s="144">
        <v>12962.1</v>
      </c>
      <c r="G10" s="144">
        <v>44655.072</v>
      </c>
      <c r="H10" s="144">
        <v>4968313.8800000008</v>
      </c>
      <c r="I10" s="144">
        <v>3985832.0399999996</v>
      </c>
      <c r="J10" s="144">
        <v>1173741.2159999998</v>
      </c>
      <c r="K10" s="144">
        <v>1157356.176</v>
      </c>
      <c r="L10" s="144">
        <v>1093375</v>
      </c>
      <c r="M10" s="144">
        <v>70099.92</v>
      </c>
      <c r="N10" s="144">
        <v>368222.48000000004</v>
      </c>
      <c r="O10" s="144">
        <v>3471296.8</v>
      </c>
      <c r="P10" s="144">
        <v>89431.56</v>
      </c>
      <c r="Q10" s="144">
        <v>1864637.16</v>
      </c>
      <c r="R10" s="202"/>
      <c r="S10" s="144">
        <f>SUM(C10:Q10)</f>
        <v>22689043.264000002</v>
      </c>
    </row>
    <row r="11" spans="2:20" s="4" customFormat="1" ht="15.75" x14ac:dyDescent="0.25">
      <c r="B11" s="203" t="s">
        <v>344</v>
      </c>
      <c r="C11" s="204">
        <f>C10*36.5%</f>
        <v>397123.05869999994</v>
      </c>
      <c r="D11" s="204">
        <f t="shared" ref="D11:Q11" si="0">D10*36.5%</f>
        <v>222246.08369999999</v>
      </c>
      <c r="E11" s="204">
        <f t="shared" si="0"/>
        <v>982659.60649999988</v>
      </c>
      <c r="F11" s="204">
        <f t="shared" si="0"/>
        <v>4731.1665000000003</v>
      </c>
      <c r="G11" s="204">
        <f t="shared" si="0"/>
        <v>16299.101279999999</v>
      </c>
      <c r="H11" s="204">
        <f t="shared" si="0"/>
        <v>1813434.5662000002</v>
      </c>
      <c r="I11" s="204">
        <f t="shared" si="0"/>
        <v>1454828.6945999998</v>
      </c>
      <c r="J11" s="204">
        <f t="shared" si="0"/>
        <v>428415.54383999988</v>
      </c>
      <c r="K11" s="204">
        <f t="shared" si="0"/>
        <v>422435.00423999998</v>
      </c>
      <c r="L11" s="204">
        <f t="shared" si="0"/>
        <v>399081.875</v>
      </c>
      <c r="M11" s="204">
        <f t="shared" si="0"/>
        <v>25586.470799999999</v>
      </c>
      <c r="N11" s="204">
        <f t="shared" si="0"/>
        <v>134401.2052</v>
      </c>
      <c r="O11" s="204">
        <f t="shared" si="0"/>
        <v>1267023.3319999999</v>
      </c>
      <c r="P11" s="204">
        <f t="shared" si="0"/>
        <v>32642.519399999997</v>
      </c>
      <c r="Q11" s="204">
        <f t="shared" si="0"/>
        <v>680592.56339999998</v>
      </c>
      <c r="R11" s="204"/>
      <c r="S11" s="204">
        <f>SUM(C11:Q11)</f>
        <v>8281500.7913599992</v>
      </c>
      <c r="T11" t="s">
        <v>345</v>
      </c>
    </row>
    <row r="12" spans="2:20" s="4" customFormat="1" ht="15.75" x14ac:dyDescent="0.25">
      <c r="B12" s="203" t="s">
        <v>346</v>
      </c>
      <c r="C12" s="204">
        <f>C10*5.5%</f>
        <v>59840.460899999991</v>
      </c>
      <c r="D12" s="204">
        <f t="shared" ref="D12:R12" si="1">D10*5.5%</f>
        <v>33489.135900000001</v>
      </c>
      <c r="E12" s="204">
        <f t="shared" si="1"/>
        <v>148071.99549999999</v>
      </c>
      <c r="F12" s="204">
        <f t="shared" si="1"/>
        <v>712.91550000000007</v>
      </c>
      <c r="G12" s="204">
        <f t="shared" si="1"/>
        <v>2456.0289600000001</v>
      </c>
      <c r="H12" s="204">
        <f t="shared" si="1"/>
        <v>273257.26340000005</v>
      </c>
      <c r="I12" s="204">
        <f t="shared" si="1"/>
        <v>219220.76219999997</v>
      </c>
      <c r="J12" s="204">
        <f t="shared" si="1"/>
        <v>64555.766879999988</v>
      </c>
      <c r="K12" s="204">
        <f t="shared" si="1"/>
        <v>63654.589679999997</v>
      </c>
      <c r="L12" s="204">
        <f t="shared" si="1"/>
        <v>60135.625</v>
      </c>
      <c r="M12" s="204">
        <f t="shared" si="1"/>
        <v>3855.4955999999997</v>
      </c>
      <c r="N12" s="204">
        <f t="shared" si="1"/>
        <v>20252.236400000002</v>
      </c>
      <c r="O12" s="204">
        <f t="shared" si="1"/>
        <v>190921.32399999999</v>
      </c>
      <c r="P12" s="204">
        <f t="shared" si="1"/>
        <v>4918.7357999999995</v>
      </c>
      <c r="Q12" s="204">
        <f t="shared" si="1"/>
        <v>102555.0438</v>
      </c>
      <c r="R12" s="204">
        <f t="shared" si="1"/>
        <v>0</v>
      </c>
      <c r="S12" s="204">
        <f>SUM(C12:Q12)</f>
        <v>1247897.37952</v>
      </c>
      <c r="T12" s="4" t="s">
        <v>347</v>
      </c>
    </row>
    <row r="13" spans="2:20" s="4" customFormat="1" ht="15.75" x14ac:dyDescent="0.25">
      <c r="B13" s="141" t="s">
        <v>332</v>
      </c>
      <c r="C13" s="144">
        <f>C10-C11-C12</f>
        <v>631044.86040000001</v>
      </c>
      <c r="D13" s="144">
        <f t="shared" ref="D13:Q13" si="2">D10-D11-D12</f>
        <v>353158.16040000005</v>
      </c>
      <c r="E13" s="144">
        <f t="shared" si="2"/>
        <v>1561486.4979999999</v>
      </c>
      <c r="F13" s="144">
        <f t="shared" si="2"/>
        <v>7518.0179999999991</v>
      </c>
      <c r="G13" s="144">
        <f t="shared" si="2"/>
        <v>25899.941760000002</v>
      </c>
      <c r="H13" s="144">
        <f t="shared" si="2"/>
        <v>2881622.0504000005</v>
      </c>
      <c r="I13" s="144">
        <f t="shared" si="2"/>
        <v>2311782.5832000002</v>
      </c>
      <c r="J13" s="144">
        <f t="shared" si="2"/>
        <v>680769.90527999983</v>
      </c>
      <c r="K13" s="144">
        <f t="shared" si="2"/>
        <v>671266.58208000008</v>
      </c>
      <c r="L13" s="144">
        <f t="shared" si="2"/>
        <v>634157.5</v>
      </c>
      <c r="M13" s="144">
        <f t="shared" si="2"/>
        <v>40657.953600000001</v>
      </c>
      <c r="N13" s="144">
        <f t="shared" si="2"/>
        <v>213569.03840000005</v>
      </c>
      <c r="O13" s="144">
        <f t="shared" si="2"/>
        <v>2013352.1439999999</v>
      </c>
      <c r="P13" s="144">
        <f t="shared" si="2"/>
        <v>51870.304799999998</v>
      </c>
      <c r="Q13" s="144">
        <f t="shared" si="2"/>
        <v>1081489.5527999997</v>
      </c>
      <c r="R13" s="202"/>
      <c r="S13" s="144">
        <f>SUM(C13:Q13)</f>
        <v>13159645.093120001</v>
      </c>
    </row>
    <row r="14" spans="2:20" s="5" customFormat="1" ht="15.75" x14ac:dyDescent="0.25"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205"/>
      <c r="S14" s="155"/>
    </row>
    <row r="15" spans="2:20" s="4" customFormat="1" ht="15.75" x14ac:dyDescent="0.25">
      <c r="B15" s="141" t="s">
        <v>10</v>
      </c>
      <c r="C15" s="144">
        <f>SUM(C16:C17)</f>
        <v>664910.27636076789</v>
      </c>
      <c r="D15" s="144">
        <v>0</v>
      </c>
      <c r="E15" s="144">
        <f t="shared" ref="E15:S15" si="3">SUM(E16:E17)</f>
        <v>1523963.6797104925</v>
      </c>
      <c r="F15" s="144">
        <f t="shared" si="3"/>
        <v>155961.95086260722</v>
      </c>
      <c r="G15" s="144">
        <v>0</v>
      </c>
      <c r="H15" s="144">
        <f t="shared" si="3"/>
        <v>431390.67418715497</v>
      </c>
      <c r="I15" s="144">
        <f t="shared" si="3"/>
        <v>458778.02006913297</v>
      </c>
      <c r="J15" s="144">
        <f t="shared" si="3"/>
        <v>224384.80959752979</v>
      </c>
      <c r="K15" s="144">
        <v>0</v>
      </c>
      <c r="L15" s="144">
        <f t="shared" si="3"/>
        <v>665152.43098290928</v>
      </c>
      <c r="M15" s="144">
        <v>0</v>
      </c>
      <c r="N15" s="144">
        <f t="shared" si="3"/>
        <v>143163.14975346206</v>
      </c>
      <c r="O15" s="144">
        <f t="shared" si="3"/>
        <v>1234045.2761122128</v>
      </c>
      <c r="P15" s="144">
        <v>0</v>
      </c>
      <c r="Q15" s="144">
        <f t="shared" si="3"/>
        <v>2706321.9751314213</v>
      </c>
      <c r="R15" s="202"/>
      <c r="S15" s="144">
        <f t="shared" si="3"/>
        <v>8208072.2427676897</v>
      </c>
    </row>
    <row r="16" spans="2:20" s="5" customFormat="1" ht="15.75" x14ac:dyDescent="0.25">
      <c r="B16" s="146" t="s">
        <v>11</v>
      </c>
      <c r="C16" s="149">
        <v>529024.39903999993</v>
      </c>
      <c r="D16" s="149">
        <v>0</v>
      </c>
      <c r="E16" s="149">
        <v>1231956.5672348284</v>
      </c>
      <c r="F16" s="149">
        <v>120482.44659360001</v>
      </c>
      <c r="G16" s="149">
        <v>0</v>
      </c>
      <c r="H16" s="149">
        <v>359719.24864351383</v>
      </c>
      <c r="I16" s="149">
        <v>380616.06932388892</v>
      </c>
      <c r="J16" s="149">
        <v>177811.6678124</v>
      </c>
      <c r="K16" s="149">
        <v>0</v>
      </c>
      <c r="L16" s="149">
        <v>535648.73710070702</v>
      </c>
      <c r="M16" s="149">
        <v>0</v>
      </c>
      <c r="N16" s="149">
        <v>113830.65840064801</v>
      </c>
      <c r="O16" s="149">
        <v>993377.91029757506</v>
      </c>
      <c r="P16" s="149">
        <v>0</v>
      </c>
      <c r="Q16" s="149">
        <v>2104470.1977802725</v>
      </c>
      <c r="R16" s="205"/>
      <c r="S16" s="149">
        <f>SUM(C16:Q16)</f>
        <v>6546937.9022274334</v>
      </c>
    </row>
    <row r="17" spans="2:19" s="5" customFormat="1" ht="15.75" x14ac:dyDescent="0.25">
      <c r="B17" s="152" t="s">
        <v>12</v>
      </c>
      <c r="C17" s="155">
        <v>135885.87732076799</v>
      </c>
      <c r="D17" s="155">
        <v>0</v>
      </c>
      <c r="E17" s="155">
        <v>292007.11247566401</v>
      </c>
      <c r="F17" s="155">
        <v>35479.504269007208</v>
      </c>
      <c r="G17" s="155">
        <v>0</v>
      </c>
      <c r="H17" s="155">
        <v>71671.425543641162</v>
      </c>
      <c r="I17" s="155">
        <v>78161.950745244059</v>
      </c>
      <c r="J17" s="155">
        <v>46573.141785129796</v>
      </c>
      <c r="K17" s="155">
        <v>0</v>
      </c>
      <c r="L17" s="155">
        <v>129503.69388220231</v>
      </c>
      <c r="M17" s="155">
        <v>0</v>
      </c>
      <c r="N17" s="155">
        <v>29332.491352814046</v>
      </c>
      <c r="O17" s="155">
        <v>240667.36581463771</v>
      </c>
      <c r="P17" s="155">
        <v>0</v>
      </c>
      <c r="Q17" s="155">
        <v>601851.77735114866</v>
      </c>
      <c r="R17" s="205"/>
      <c r="S17" s="155">
        <f>SUM(C17:Q17)</f>
        <v>1661134.3405402568</v>
      </c>
    </row>
    <row r="18" spans="2:19" s="4" customFormat="1" ht="15.75" x14ac:dyDescent="0.25">
      <c r="B18" s="141" t="s">
        <v>13</v>
      </c>
      <c r="C18" s="144">
        <f>SUM(C19:C41)</f>
        <v>38400</v>
      </c>
      <c r="D18" s="144">
        <f t="shared" ref="D18:Q18" si="4">SUM(D19:D41)</f>
        <v>0</v>
      </c>
      <c r="E18" s="144">
        <f t="shared" si="4"/>
        <v>97300</v>
      </c>
      <c r="F18" s="144">
        <f t="shared" si="4"/>
        <v>15800</v>
      </c>
      <c r="G18" s="144">
        <f t="shared" si="4"/>
        <v>45000</v>
      </c>
      <c r="H18" s="144">
        <f t="shared" si="4"/>
        <v>278550</v>
      </c>
      <c r="I18" s="144">
        <f t="shared" si="4"/>
        <v>565950</v>
      </c>
      <c r="J18" s="144">
        <f t="shared" si="4"/>
        <v>700277.77999999991</v>
      </c>
      <c r="K18" s="144">
        <f t="shared" si="4"/>
        <v>0</v>
      </c>
      <c r="L18" s="144">
        <f t="shared" si="4"/>
        <v>41900</v>
      </c>
      <c r="M18" s="144">
        <f t="shared" si="4"/>
        <v>0</v>
      </c>
      <c r="N18" s="144">
        <f t="shared" si="4"/>
        <v>106110</v>
      </c>
      <c r="O18" s="144">
        <f t="shared" si="4"/>
        <v>1751251</v>
      </c>
      <c r="P18" s="144">
        <f t="shared" si="4"/>
        <v>0</v>
      </c>
      <c r="Q18" s="144">
        <f t="shared" si="4"/>
        <v>348150</v>
      </c>
      <c r="R18" s="202"/>
      <c r="S18" s="144">
        <f>SUM(S19:S41)</f>
        <v>3988688.78</v>
      </c>
    </row>
    <row r="19" spans="2:19" s="4" customFormat="1" ht="15.75" x14ac:dyDescent="0.25">
      <c r="B19" s="157" t="s">
        <v>14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58"/>
      <c r="Q19" s="161">
        <v>1750</v>
      </c>
      <c r="R19" s="205"/>
      <c r="S19" s="161">
        <f>SUM(C19:Q19)</f>
        <v>1750</v>
      </c>
    </row>
    <row r="20" spans="2:19" s="5" customFormat="1" ht="15.75" x14ac:dyDescent="0.25">
      <c r="B20" s="152" t="s">
        <v>18</v>
      </c>
      <c r="C20" s="155">
        <v>2000</v>
      </c>
      <c r="D20" s="163"/>
      <c r="E20" s="155">
        <v>4500</v>
      </c>
      <c r="F20" s="155">
        <v>1000</v>
      </c>
      <c r="G20" s="163"/>
      <c r="H20" s="155">
        <v>16500</v>
      </c>
      <c r="I20" s="163">
        <v>300</v>
      </c>
      <c r="J20" s="155">
        <v>3500</v>
      </c>
      <c r="K20" s="163"/>
      <c r="L20" s="155">
        <v>10000</v>
      </c>
      <c r="M20" s="163"/>
      <c r="N20" s="163"/>
      <c r="O20" s="155">
        <v>6500</v>
      </c>
      <c r="P20" s="163"/>
      <c r="Q20" s="155">
        <v>10000</v>
      </c>
      <c r="R20" s="205"/>
      <c r="S20" s="155">
        <f t="shared" ref="S20:S41" si="5">SUM(C20:Q20)</f>
        <v>54300</v>
      </c>
    </row>
    <row r="21" spans="2:19" s="5" customFormat="1" ht="15.75" x14ac:dyDescent="0.25">
      <c r="B21" s="157" t="s">
        <v>127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65">
        <v>64000</v>
      </c>
      <c r="O21" s="158"/>
      <c r="P21" s="158"/>
      <c r="Q21" s="165"/>
      <c r="R21" s="206"/>
      <c r="S21" s="161">
        <f t="shared" si="5"/>
        <v>64000</v>
      </c>
    </row>
    <row r="22" spans="2:19" s="5" customFormat="1" ht="15.75" x14ac:dyDescent="0.25">
      <c r="B22" s="152" t="s">
        <v>15</v>
      </c>
      <c r="C22" s="163"/>
      <c r="D22" s="163"/>
      <c r="E22" s="163"/>
      <c r="F22" s="163"/>
      <c r="G22" s="163"/>
      <c r="H22" s="155"/>
      <c r="I22" s="155"/>
      <c r="J22" s="163"/>
      <c r="K22" s="163"/>
      <c r="L22" s="163"/>
      <c r="M22" s="163"/>
      <c r="N22" s="155"/>
      <c r="O22" s="155"/>
      <c r="P22" s="163"/>
      <c r="Q22" s="155"/>
      <c r="R22" s="205"/>
      <c r="S22" s="155">
        <f t="shared" si="5"/>
        <v>0</v>
      </c>
    </row>
    <row r="23" spans="2:19" s="5" customFormat="1" ht="15.75" x14ac:dyDescent="0.25">
      <c r="B23" s="157" t="s">
        <v>24</v>
      </c>
      <c r="C23" s="161"/>
      <c r="D23" s="158"/>
      <c r="E23" s="161">
        <v>2500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61">
        <v>300</v>
      </c>
      <c r="R23" s="205"/>
      <c r="S23" s="161">
        <f t="shared" si="5"/>
        <v>2800</v>
      </c>
    </row>
    <row r="24" spans="2:19" s="5" customFormat="1" ht="15.75" x14ac:dyDescent="0.25">
      <c r="B24" s="152" t="s">
        <v>128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55">
        <v>1000</v>
      </c>
      <c r="P24" s="163"/>
      <c r="Q24" s="163"/>
      <c r="R24" s="205"/>
      <c r="S24" s="155">
        <f t="shared" si="5"/>
        <v>1000</v>
      </c>
    </row>
    <row r="25" spans="2:19" s="5" customFormat="1" ht="15.75" x14ac:dyDescent="0.25">
      <c r="B25" s="157" t="s">
        <v>129</v>
      </c>
      <c r="C25" s="161">
        <v>100</v>
      </c>
      <c r="D25" s="158"/>
      <c r="E25" s="158"/>
      <c r="F25" s="158"/>
      <c r="G25" s="158"/>
      <c r="H25" s="158"/>
      <c r="I25" s="158"/>
      <c r="J25" s="161">
        <v>8000</v>
      </c>
      <c r="K25" s="158"/>
      <c r="L25" s="158"/>
      <c r="M25" s="158"/>
      <c r="N25" s="158"/>
      <c r="O25" s="161">
        <v>200</v>
      </c>
      <c r="P25" s="158"/>
      <c r="Q25" s="158"/>
      <c r="R25" s="205"/>
      <c r="S25" s="161">
        <f t="shared" si="5"/>
        <v>8300</v>
      </c>
    </row>
    <row r="26" spans="2:19" s="5" customFormat="1" ht="15.75" x14ac:dyDescent="0.25">
      <c r="B26" s="152" t="s">
        <v>130</v>
      </c>
      <c r="C26" s="155">
        <v>700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55">
        <v>25000</v>
      </c>
      <c r="P26" s="163"/>
      <c r="Q26" s="163"/>
      <c r="R26" s="205"/>
      <c r="S26" s="155">
        <f t="shared" si="5"/>
        <v>25700</v>
      </c>
    </row>
    <row r="27" spans="2:19" s="5" customFormat="1" ht="15.75" x14ac:dyDescent="0.25">
      <c r="B27" s="157" t="s">
        <v>26</v>
      </c>
      <c r="C27" s="161">
        <v>12000</v>
      </c>
      <c r="D27" s="158"/>
      <c r="E27" s="161">
        <v>19000</v>
      </c>
      <c r="F27" s="161">
        <v>800</v>
      </c>
      <c r="G27" s="161">
        <v>45000</v>
      </c>
      <c r="H27" s="161">
        <v>15000</v>
      </c>
      <c r="I27" s="161">
        <v>230000</v>
      </c>
      <c r="J27" s="161">
        <v>500</v>
      </c>
      <c r="K27" s="158"/>
      <c r="L27" s="161">
        <v>15000</v>
      </c>
      <c r="M27" s="158"/>
      <c r="N27" s="161">
        <v>3700</v>
      </c>
      <c r="O27" s="161">
        <v>25000</v>
      </c>
      <c r="P27" s="158"/>
      <c r="Q27" s="161">
        <v>15000</v>
      </c>
      <c r="R27" s="205"/>
      <c r="S27" s="161">
        <f t="shared" si="5"/>
        <v>381000</v>
      </c>
    </row>
    <row r="28" spans="2:19" s="5" customFormat="1" ht="15.75" x14ac:dyDescent="0.25">
      <c r="B28" s="152" t="s">
        <v>28</v>
      </c>
      <c r="C28" s="155">
        <v>16600</v>
      </c>
      <c r="D28" s="163"/>
      <c r="E28" s="155">
        <v>13000</v>
      </c>
      <c r="F28" s="155">
        <v>500</v>
      </c>
      <c r="G28" s="163"/>
      <c r="H28" s="155">
        <v>1500</v>
      </c>
      <c r="I28" s="155">
        <v>1000</v>
      </c>
      <c r="J28" s="207">
        <v>500</v>
      </c>
      <c r="K28" s="163"/>
      <c r="L28" s="155">
        <v>10000</v>
      </c>
      <c r="M28" s="163"/>
      <c r="N28" s="155">
        <v>3500</v>
      </c>
      <c r="O28" s="155">
        <v>12000</v>
      </c>
      <c r="P28" s="163"/>
      <c r="Q28" s="155">
        <v>6000</v>
      </c>
      <c r="R28" s="205"/>
      <c r="S28" s="155">
        <f t="shared" si="5"/>
        <v>64600</v>
      </c>
    </row>
    <row r="29" spans="2:19" s="5" customFormat="1" ht="15.75" x14ac:dyDescent="0.25">
      <c r="B29" s="157" t="s">
        <v>29</v>
      </c>
      <c r="C29" s="161">
        <v>5000</v>
      </c>
      <c r="D29" s="158"/>
      <c r="E29" s="161">
        <v>29000</v>
      </c>
      <c r="F29" s="161">
        <v>500</v>
      </c>
      <c r="G29" s="158"/>
      <c r="H29" s="161">
        <v>1500</v>
      </c>
      <c r="I29" s="161">
        <v>5000</v>
      </c>
      <c r="J29" s="161">
        <v>300</v>
      </c>
      <c r="K29" s="158"/>
      <c r="L29" s="161">
        <v>1600</v>
      </c>
      <c r="M29" s="158"/>
      <c r="N29" s="161">
        <v>100</v>
      </c>
      <c r="O29" s="161">
        <v>10000</v>
      </c>
      <c r="P29" s="158"/>
      <c r="Q29" s="161">
        <v>4000</v>
      </c>
      <c r="R29" s="205"/>
      <c r="S29" s="161">
        <f t="shared" si="5"/>
        <v>57000</v>
      </c>
    </row>
    <row r="30" spans="2:19" s="5" customFormat="1" ht="15.75" x14ac:dyDescent="0.25">
      <c r="B30" s="152" t="s">
        <v>30</v>
      </c>
      <c r="C30" s="155">
        <v>50</v>
      </c>
      <c r="D30" s="163"/>
      <c r="E30" s="155">
        <v>700</v>
      </c>
      <c r="F30" s="155">
        <v>1000</v>
      </c>
      <c r="G30" s="163"/>
      <c r="H30" s="155">
        <v>1500</v>
      </c>
      <c r="I30" s="155">
        <v>3000</v>
      </c>
      <c r="J30" s="155">
        <v>450</v>
      </c>
      <c r="K30" s="163"/>
      <c r="L30" s="155">
        <v>1200</v>
      </c>
      <c r="M30" s="163"/>
      <c r="N30" s="155">
        <v>200</v>
      </c>
      <c r="O30" s="155">
        <v>2500</v>
      </c>
      <c r="P30" s="163"/>
      <c r="Q30" s="155">
        <v>6000</v>
      </c>
      <c r="R30" s="205"/>
      <c r="S30" s="155">
        <f t="shared" si="5"/>
        <v>16600</v>
      </c>
    </row>
    <row r="31" spans="2:19" s="5" customFormat="1" ht="15.75" x14ac:dyDescent="0.25">
      <c r="B31" s="157" t="s">
        <v>131</v>
      </c>
      <c r="C31" s="158"/>
      <c r="D31" s="158"/>
      <c r="E31" s="161">
        <v>100</v>
      </c>
      <c r="F31" s="158"/>
      <c r="G31" s="158"/>
      <c r="H31" s="158"/>
      <c r="I31" s="158"/>
      <c r="J31" s="158"/>
      <c r="K31" s="158"/>
      <c r="L31" s="161">
        <v>1800</v>
      </c>
      <c r="M31" s="158"/>
      <c r="N31" s="158"/>
      <c r="O31" s="161">
        <v>7000</v>
      </c>
      <c r="P31" s="158"/>
      <c r="Q31" s="161">
        <v>4000</v>
      </c>
      <c r="R31" s="205"/>
      <c r="S31" s="161">
        <f t="shared" si="5"/>
        <v>12900</v>
      </c>
    </row>
    <row r="32" spans="2:19" s="5" customFormat="1" ht="15.75" x14ac:dyDescent="0.25">
      <c r="B32" s="152" t="s">
        <v>132</v>
      </c>
      <c r="C32" s="155"/>
      <c r="D32" s="163"/>
      <c r="E32" s="155">
        <v>5000</v>
      </c>
      <c r="F32" s="163"/>
      <c r="G32" s="163"/>
      <c r="H32" s="163"/>
      <c r="I32" s="163"/>
      <c r="J32" s="163"/>
      <c r="K32" s="163"/>
      <c r="L32" s="208">
        <v>0</v>
      </c>
      <c r="M32" s="163"/>
      <c r="N32" s="155">
        <v>10</v>
      </c>
      <c r="O32" s="163"/>
      <c r="P32" s="163"/>
      <c r="Q32" s="163"/>
      <c r="R32" s="205"/>
      <c r="S32" s="155">
        <f t="shared" si="5"/>
        <v>5010</v>
      </c>
    </row>
    <row r="33" spans="2:20" s="5" customFormat="1" ht="15.75" x14ac:dyDescent="0.25">
      <c r="B33" s="157" t="s">
        <v>133</v>
      </c>
      <c r="C33" s="165">
        <v>600</v>
      </c>
      <c r="D33" s="158"/>
      <c r="E33" s="161">
        <v>1000</v>
      </c>
      <c r="F33" s="158"/>
      <c r="G33" s="158"/>
      <c r="H33" s="158"/>
      <c r="I33" s="158"/>
      <c r="J33" s="158"/>
      <c r="K33" s="158"/>
      <c r="L33" s="209"/>
      <c r="M33" s="158"/>
      <c r="N33" s="161">
        <v>14000</v>
      </c>
      <c r="O33" s="161">
        <v>1300</v>
      </c>
      <c r="P33" s="158"/>
      <c r="Q33" s="161"/>
      <c r="R33" s="205"/>
      <c r="S33" s="161">
        <f t="shared" si="5"/>
        <v>16900</v>
      </c>
    </row>
    <row r="34" spans="2:20" s="5" customFormat="1" ht="15.75" x14ac:dyDescent="0.25">
      <c r="B34" s="152" t="s">
        <v>134</v>
      </c>
      <c r="C34" s="163"/>
      <c r="D34" s="163"/>
      <c r="E34" s="155">
        <v>4000</v>
      </c>
      <c r="F34" s="163"/>
      <c r="G34" s="163"/>
      <c r="H34" s="163"/>
      <c r="I34" s="163"/>
      <c r="J34" s="155">
        <v>639894.36</v>
      </c>
      <c r="K34" s="163"/>
      <c r="L34" s="208">
        <v>500</v>
      </c>
      <c r="M34" s="163"/>
      <c r="N34" s="163"/>
      <c r="O34" s="163"/>
      <c r="P34" s="163"/>
      <c r="Q34" s="155">
        <v>80000</v>
      </c>
      <c r="R34" s="205"/>
      <c r="S34" s="155">
        <f t="shared" si="5"/>
        <v>724394.36</v>
      </c>
    </row>
    <row r="35" spans="2:20" s="5" customFormat="1" ht="15.75" x14ac:dyDescent="0.25">
      <c r="B35" s="157" t="s">
        <v>33</v>
      </c>
      <c r="C35" s="158">
        <v>300</v>
      </c>
      <c r="D35" s="158"/>
      <c r="E35" s="161">
        <v>500</v>
      </c>
      <c r="F35" s="161">
        <v>3000</v>
      </c>
      <c r="G35" s="158"/>
      <c r="H35" s="161">
        <v>800</v>
      </c>
      <c r="I35" s="161">
        <v>10000</v>
      </c>
      <c r="J35" s="161">
        <v>1300</v>
      </c>
      <c r="K35" s="158"/>
      <c r="L35" s="210">
        <v>1500</v>
      </c>
      <c r="M35" s="158"/>
      <c r="N35" s="161">
        <v>800</v>
      </c>
      <c r="O35" s="161">
        <v>1000</v>
      </c>
      <c r="P35" s="158"/>
      <c r="Q35" s="161">
        <v>400</v>
      </c>
      <c r="R35" s="205"/>
      <c r="S35" s="161">
        <f t="shared" si="5"/>
        <v>19600</v>
      </c>
    </row>
    <row r="36" spans="2:20" s="5" customFormat="1" ht="15.75" x14ac:dyDescent="0.25">
      <c r="B36" s="152" t="s">
        <v>34</v>
      </c>
      <c r="C36" s="163"/>
      <c r="D36" s="163"/>
      <c r="E36" s="163"/>
      <c r="F36" s="163"/>
      <c r="G36" s="163"/>
      <c r="H36" s="155">
        <v>43000</v>
      </c>
      <c r="I36" s="155">
        <v>36000</v>
      </c>
      <c r="J36" s="207">
        <v>10000</v>
      </c>
      <c r="K36" s="163"/>
      <c r="L36" s="208"/>
      <c r="M36" s="163"/>
      <c r="N36" s="163"/>
      <c r="O36" s="155">
        <v>1647756</v>
      </c>
      <c r="P36" s="163"/>
      <c r="Q36" s="155">
        <v>180000</v>
      </c>
      <c r="R36" s="205"/>
      <c r="S36" s="155">
        <f t="shared" si="5"/>
        <v>1916756</v>
      </c>
    </row>
    <row r="37" spans="2:20" s="5" customFormat="1" ht="15.75" x14ac:dyDescent="0.25">
      <c r="B37" s="157" t="s">
        <v>36</v>
      </c>
      <c r="C37" s="161">
        <v>1000</v>
      </c>
      <c r="D37" s="158"/>
      <c r="E37" s="161">
        <v>13000</v>
      </c>
      <c r="F37" s="161">
        <v>5000</v>
      </c>
      <c r="G37" s="158"/>
      <c r="H37" s="161">
        <v>48400</v>
      </c>
      <c r="I37" s="161">
        <v>50000</v>
      </c>
      <c r="J37" s="161">
        <v>16957.439999999999</v>
      </c>
      <c r="K37" s="158"/>
      <c r="L37" s="209"/>
      <c r="M37" s="158"/>
      <c r="N37" s="161">
        <v>1800</v>
      </c>
      <c r="O37" s="161">
        <v>3000</v>
      </c>
      <c r="P37" s="158"/>
      <c r="Q37" s="161">
        <v>5000</v>
      </c>
      <c r="R37" s="205"/>
      <c r="S37" s="161">
        <f t="shared" si="5"/>
        <v>144157.44</v>
      </c>
    </row>
    <row r="38" spans="2:20" s="5" customFormat="1" ht="15.75" x14ac:dyDescent="0.25">
      <c r="B38" s="152" t="s">
        <v>37</v>
      </c>
      <c r="C38" s="163"/>
      <c r="D38" s="163"/>
      <c r="E38" s="155">
        <v>5000</v>
      </c>
      <c r="F38" s="155">
        <v>3000</v>
      </c>
      <c r="G38" s="163"/>
      <c r="H38" s="155">
        <v>150000</v>
      </c>
      <c r="I38" s="155">
        <v>230000</v>
      </c>
      <c r="J38" s="155">
        <v>18875.98</v>
      </c>
      <c r="K38" s="163"/>
      <c r="L38" s="208"/>
      <c r="M38" s="163"/>
      <c r="N38" s="155">
        <v>18000</v>
      </c>
      <c r="O38" s="155">
        <v>2995</v>
      </c>
      <c r="P38" s="163"/>
      <c r="Q38" s="155">
        <v>35000</v>
      </c>
      <c r="R38" s="205"/>
      <c r="S38" s="155">
        <f t="shared" si="5"/>
        <v>462870.98</v>
      </c>
    </row>
    <row r="39" spans="2:20" s="5" customFormat="1" ht="15.75" x14ac:dyDescent="0.25">
      <c r="B39" s="157" t="s">
        <v>39</v>
      </c>
      <c r="C39" s="158"/>
      <c r="D39" s="158"/>
      <c r="E39" s="158"/>
      <c r="F39" s="165">
        <v>1000</v>
      </c>
      <c r="G39" s="158"/>
      <c r="H39" s="158"/>
      <c r="I39" s="158"/>
      <c r="J39" s="158"/>
      <c r="K39" s="158"/>
      <c r="L39" s="209">
        <v>300</v>
      </c>
      <c r="M39" s="158"/>
      <c r="N39" s="158"/>
      <c r="O39" s="161">
        <v>1000</v>
      </c>
      <c r="P39" s="158"/>
      <c r="Q39" s="158"/>
      <c r="R39" s="205"/>
      <c r="S39" s="161">
        <f t="shared" si="5"/>
        <v>2300</v>
      </c>
    </row>
    <row r="40" spans="2:20" s="5" customFormat="1" ht="15.75" x14ac:dyDescent="0.25">
      <c r="B40" s="152" t="s">
        <v>135</v>
      </c>
      <c r="C40" s="155">
        <v>50</v>
      </c>
      <c r="D40" s="163"/>
      <c r="E40" s="163"/>
      <c r="F40" s="163"/>
      <c r="G40" s="163"/>
      <c r="H40" s="163"/>
      <c r="I40" s="155">
        <v>100</v>
      </c>
      <c r="J40" s="163"/>
      <c r="K40" s="163"/>
      <c r="L40" s="163"/>
      <c r="M40" s="163"/>
      <c r="N40" s="163"/>
      <c r="O40" s="155">
        <v>5000</v>
      </c>
      <c r="P40" s="163"/>
      <c r="Q40" s="155">
        <v>700</v>
      </c>
      <c r="R40" s="205"/>
      <c r="S40" s="155">
        <f t="shared" si="5"/>
        <v>5850</v>
      </c>
    </row>
    <row r="41" spans="2:20" s="5" customFormat="1" ht="15.75" x14ac:dyDescent="0.25">
      <c r="B41" s="157" t="s">
        <v>40</v>
      </c>
      <c r="C41" s="158"/>
      <c r="D41" s="158"/>
      <c r="E41" s="158"/>
      <c r="F41" s="158"/>
      <c r="G41" s="158"/>
      <c r="H41" s="161">
        <v>350</v>
      </c>
      <c r="I41" s="161">
        <v>550</v>
      </c>
      <c r="J41" s="158"/>
      <c r="K41" s="158"/>
      <c r="L41" s="158"/>
      <c r="M41" s="158"/>
      <c r="N41" s="158"/>
      <c r="O41" s="158"/>
      <c r="P41" s="158"/>
      <c r="Q41" s="158"/>
      <c r="R41" s="205"/>
      <c r="S41" s="161">
        <f t="shared" si="5"/>
        <v>900</v>
      </c>
    </row>
    <row r="42" spans="2:20" s="4" customFormat="1" ht="15.75" x14ac:dyDescent="0.25">
      <c r="B42" s="141" t="s">
        <v>41</v>
      </c>
      <c r="C42" s="144">
        <f>SUM(C43:C44)</f>
        <v>15500</v>
      </c>
      <c r="D42" s="144">
        <f t="shared" ref="D42:S42" si="6">SUM(D43:D44)</f>
        <v>0</v>
      </c>
      <c r="E42" s="144">
        <f t="shared" si="6"/>
        <v>3000</v>
      </c>
      <c r="F42" s="144">
        <f t="shared" si="6"/>
        <v>1000</v>
      </c>
      <c r="G42" s="144">
        <f t="shared" si="6"/>
        <v>0</v>
      </c>
      <c r="H42" s="144">
        <f t="shared" si="6"/>
        <v>4000</v>
      </c>
      <c r="I42" s="144">
        <f t="shared" si="6"/>
        <v>3000</v>
      </c>
      <c r="J42" s="144">
        <f t="shared" si="6"/>
        <v>1500</v>
      </c>
      <c r="K42" s="144">
        <f t="shared" si="6"/>
        <v>0</v>
      </c>
      <c r="L42" s="144">
        <f t="shared" si="6"/>
        <v>10000</v>
      </c>
      <c r="M42" s="144">
        <f t="shared" si="6"/>
        <v>0</v>
      </c>
      <c r="N42" s="144">
        <f t="shared" si="6"/>
        <v>0</v>
      </c>
      <c r="O42" s="144">
        <f t="shared" si="6"/>
        <v>0</v>
      </c>
      <c r="P42" s="144">
        <f t="shared" si="6"/>
        <v>0</v>
      </c>
      <c r="Q42" s="144">
        <f t="shared" si="6"/>
        <v>30000</v>
      </c>
      <c r="R42" s="202"/>
      <c r="S42" s="144">
        <f t="shared" si="6"/>
        <v>68000</v>
      </c>
    </row>
    <row r="43" spans="2:20" s="5" customFormat="1" ht="15.75" x14ac:dyDescent="0.25">
      <c r="B43" s="152" t="s">
        <v>42</v>
      </c>
      <c r="C43" s="155">
        <v>8500</v>
      </c>
      <c r="D43" s="163"/>
      <c r="E43" s="155">
        <v>1000</v>
      </c>
      <c r="F43" s="163"/>
      <c r="G43" s="163"/>
      <c r="H43" s="155">
        <v>2000</v>
      </c>
      <c r="I43" s="155">
        <v>3000</v>
      </c>
      <c r="J43" s="155">
        <v>1000</v>
      </c>
      <c r="K43" s="163"/>
      <c r="L43" s="155">
        <v>7500</v>
      </c>
      <c r="M43" s="163"/>
      <c r="N43" s="163"/>
      <c r="O43" s="155"/>
      <c r="P43" s="163"/>
      <c r="Q43" s="155">
        <v>25000</v>
      </c>
      <c r="R43" s="205"/>
      <c r="S43" s="155">
        <f>SUM(C43:Q43)</f>
        <v>48000</v>
      </c>
    </row>
    <row r="44" spans="2:20" s="5" customFormat="1" ht="15.75" x14ac:dyDescent="0.25">
      <c r="B44" s="157" t="s">
        <v>43</v>
      </c>
      <c r="C44" s="161">
        <v>7000</v>
      </c>
      <c r="D44" s="158"/>
      <c r="E44" s="161">
        <v>2000</v>
      </c>
      <c r="F44" s="161">
        <v>1000</v>
      </c>
      <c r="G44" s="158"/>
      <c r="H44" s="161">
        <v>2000</v>
      </c>
      <c r="I44" s="158"/>
      <c r="J44" s="161">
        <v>500</v>
      </c>
      <c r="K44" s="158"/>
      <c r="L44" s="165">
        <v>2500</v>
      </c>
      <c r="M44" s="158"/>
      <c r="N44" s="158"/>
      <c r="O44" s="158"/>
      <c r="P44" s="158"/>
      <c r="Q44" s="161">
        <v>5000</v>
      </c>
      <c r="R44" s="205"/>
      <c r="S44" s="161">
        <f>SUM(C44:Q44)</f>
        <v>20000</v>
      </c>
    </row>
    <row r="45" spans="2:20" s="5" customFormat="1" ht="15.75" x14ac:dyDescent="0.25">
      <c r="B45" s="172" t="s">
        <v>50</v>
      </c>
      <c r="C45" s="173">
        <f t="shared" ref="C45:Q45" si="7">C15+C18+C42</f>
        <v>718810.27636076789</v>
      </c>
      <c r="D45" s="173">
        <f t="shared" si="7"/>
        <v>0</v>
      </c>
      <c r="E45" s="173">
        <f t="shared" si="7"/>
        <v>1624263.6797104925</v>
      </c>
      <c r="F45" s="173">
        <f t="shared" si="7"/>
        <v>172761.95086260722</v>
      </c>
      <c r="G45" s="173">
        <f t="shared" si="7"/>
        <v>45000</v>
      </c>
      <c r="H45" s="173">
        <f t="shared" si="7"/>
        <v>713940.67418715497</v>
      </c>
      <c r="I45" s="173">
        <f t="shared" si="7"/>
        <v>1027728.020069133</v>
      </c>
      <c r="J45" s="173">
        <f t="shared" si="7"/>
        <v>926162.58959752973</v>
      </c>
      <c r="K45" s="173">
        <f t="shared" si="7"/>
        <v>0</v>
      </c>
      <c r="L45" s="173">
        <f t="shared" si="7"/>
        <v>717052.43098290928</v>
      </c>
      <c r="M45" s="173">
        <f t="shared" si="7"/>
        <v>0</v>
      </c>
      <c r="N45" s="173">
        <f t="shared" si="7"/>
        <v>249273.14975346206</v>
      </c>
      <c r="O45" s="173">
        <f t="shared" si="7"/>
        <v>2985296.2761122128</v>
      </c>
      <c r="P45" s="173">
        <f t="shared" si="7"/>
        <v>0</v>
      </c>
      <c r="Q45" s="173">
        <f t="shared" si="7"/>
        <v>3084471.9751314213</v>
      </c>
      <c r="R45" s="173"/>
      <c r="S45" s="173">
        <f>S15+S18+S42</f>
        <v>12264761.022767689</v>
      </c>
    </row>
    <row r="46" spans="2:20" s="5" customFormat="1" ht="15.75" x14ac:dyDescent="0.25">
      <c r="B46" s="211" t="s">
        <v>335</v>
      </c>
      <c r="C46" s="212">
        <f>C13-C45</f>
        <v>-87765.415960767888</v>
      </c>
      <c r="D46" s="212">
        <f t="shared" ref="D46:Q46" si="8">D13-D45</f>
        <v>353158.16040000005</v>
      </c>
      <c r="E46" s="212">
        <f t="shared" si="8"/>
        <v>-62777.181710492587</v>
      </c>
      <c r="F46" s="212">
        <f t="shared" si="8"/>
        <v>-165243.93286260721</v>
      </c>
      <c r="G46" s="212">
        <f t="shared" si="8"/>
        <v>-19100.058239999998</v>
      </c>
      <c r="H46" s="212">
        <f t="shared" si="8"/>
        <v>2167681.3762128456</v>
      </c>
      <c r="I46" s="212">
        <f t="shared" si="8"/>
        <v>1284054.5631308672</v>
      </c>
      <c r="J46" s="212">
        <f t="shared" si="8"/>
        <v>-245392.6843175299</v>
      </c>
      <c r="K46" s="212">
        <f t="shared" si="8"/>
        <v>671266.58208000008</v>
      </c>
      <c r="L46" s="212">
        <f t="shared" si="8"/>
        <v>-82894.930982909282</v>
      </c>
      <c r="M46" s="212">
        <f t="shared" si="8"/>
        <v>40657.953600000001</v>
      </c>
      <c r="N46" s="212">
        <f t="shared" si="8"/>
        <v>-35704.111353462009</v>
      </c>
      <c r="O46" s="212">
        <f t="shared" si="8"/>
        <v>-971944.13211221294</v>
      </c>
      <c r="P46" s="212">
        <f t="shared" si="8"/>
        <v>51870.304799999998</v>
      </c>
      <c r="Q46" s="212">
        <f t="shared" si="8"/>
        <v>-2002982.4223314216</v>
      </c>
      <c r="R46" s="212"/>
      <c r="S46" s="213">
        <f>SUM(C46:R46)</f>
        <v>894884.07035230985</v>
      </c>
      <c r="T46" s="4"/>
    </row>
    <row r="47" spans="2:20" s="5" customFormat="1" ht="16.5" thickBot="1" x14ac:dyDescent="0.3">
      <c r="C47" s="214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</row>
    <row r="48" spans="2:20" s="5" customFormat="1" ht="15.75" x14ac:dyDescent="0.25">
      <c r="B48" s="216" t="s">
        <v>348</v>
      </c>
      <c r="C48" s="217"/>
      <c r="D48" s="218" t="s">
        <v>349</v>
      </c>
      <c r="E48" s="218"/>
      <c r="F48" s="218">
        <v>15000</v>
      </c>
      <c r="G48" s="219"/>
      <c r="H48" s="191"/>
      <c r="I48" s="216" t="s">
        <v>350</v>
      </c>
      <c r="J48" s="218"/>
      <c r="K48" s="218"/>
      <c r="L48" s="218" t="s">
        <v>233</v>
      </c>
      <c r="M48" s="218"/>
      <c r="N48" s="218">
        <v>2555856.04</v>
      </c>
      <c r="O48" s="219"/>
      <c r="P48" s="191"/>
      <c r="Q48" s="191"/>
      <c r="R48" s="191"/>
      <c r="S48" s="191"/>
    </row>
    <row r="49" spans="2:19" s="5" customFormat="1" ht="15.75" x14ac:dyDescent="0.25">
      <c r="B49" s="220"/>
      <c r="C49" s="190"/>
      <c r="D49" s="191" t="s">
        <v>351</v>
      </c>
      <c r="E49" s="191"/>
      <c r="F49" s="191">
        <v>50000</v>
      </c>
      <c r="G49" s="221"/>
      <c r="H49" s="191"/>
      <c r="I49" s="222"/>
      <c r="J49" s="191"/>
      <c r="K49" s="191"/>
      <c r="L49" s="191" t="s">
        <v>352</v>
      </c>
      <c r="M49" s="191"/>
      <c r="N49" s="191">
        <v>4241848.7198490007</v>
      </c>
      <c r="O49" s="221" t="s">
        <v>327</v>
      </c>
      <c r="P49" s="191"/>
      <c r="Q49" s="191"/>
      <c r="R49" s="191"/>
      <c r="S49" s="191"/>
    </row>
    <row r="50" spans="2:19" s="5" customFormat="1" ht="15.75" x14ac:dyDescent="0.25">
      <c r="B50" s="220"/>
      <c r="C50" s="190"/>
      <c r="D50" s="191" t="s">
        <v>353</v>
      </c>
      <c r="E50" s="191"/>
      <c r="F50" s="191">
        <v>500</v>
      </c>
      <c r="G50" s="221"/>
      <c r="H50" s="191"/>
      <c r="I50" s="222"/>
      <c r="J50" s="191"/>
      <c r="K50" s="191"/>
      <c r="L50" s="191" t="s">
        <v>354</v>
      </c>
      <c r="M50" s="191"/>
      <c r="N50" s="191">
        <v>1441312.35</v>
      </c>
      <c r="O50" s="221"/>
      <c r="P50" s="191"/>
      <c r="Q50" s="191"/>
      <c r="R50" s="191"/>
      <c r="S50" s="191"/>
    </row>
    <row r="51" spans="2:19" s="5" customFormat="1" ht="15.75" x14ac:dyDescent="0.25">
      <c r="B51" s="220"/>
      <c r="C51" s="190"/>
      <c r="D51" s="191" t="s">
        <v>355</v>
      </c>
      <c r="E51" s="191"/>
      <c r="F51" s="191">
        <v>500</v>
      </c>
      <c r="G51" s="221"/>
      <c r="H51" s="191"/>
      <c r="I51" s="222"/>
      <c r="J51" s="191"/>
      <c r="K51" s="191"/>
      <c r="L51" s="191" t="s">
        <v>356</v>
      </c>
      <c r="M51" s="191"/>
      <c r="N51" s="191">
        <v>12000</v>
      </c>
      <c r="O51" s="221"/>
      <c r="P51" s="191"/>
      <c r="Q51" s="191"/>
      <c r="R51" s="191"/>
      <c r="S51" s="191"/>
    </row>
    <row r="52" spans="2:19" s="5" customFormat="1" ht="15.75" x14ac:dyDescent="0.25">
      <c r="B52" s="220"/>
      <c r="C52" s="190"/>
      <c r="D52" s="191" t="s">
        <v>357</v>
      </c>
      <c r="E52" s="191"/>
      <c r="F52" s="191">
        <v>500000</v>
      </c>
      <c r="G52" s="221"/>
      <c r="H52" s="191"/>
      <c r="I52" s="222"/>
      <c r="J52" s="191"/>
      <c r="K52" s="191"/>
      <c r="L52" s="191"/>
      <c r="M52" s="191"/>
      <c r="N52" s="191"/>
      <c r="O52" s="223">
        <f>SUM(N48:N51)</f>
        <v>8251017.1098490003</v>
      </c>
      <c r="P52" s="191"/>
      <c r="Q52" s="191"/>
      <c r="R52" s="191"/>
      <c r="S52" s="191"/>
    </row>
    <row r="53" spans="2:19" s="5" customFormat="1" ht="15.75" x14ac:dyDescent="0.25">
      <c r="B53" s="220"/>
      <c r="C53" s="190"/>
      <c r="D53" s="191" t="s">
        <v>358</v>
      </c>
      <c r="E53" s="191"/>
      <c r="F53" s="191">
        <v>2500</v>
      </c>
      <c r="G53" s="221"/>
      <c r="H53" s="191"/>
      <c r="I53" s="224" t="s">
        <v>359</v>
      </c>
      <c r="J53" s="191"/>
      <c r="K53" s="191"/>
      <c r="L53" s="191" t="s">
        <v>360</v>
      </c>
      <c r="M53" s="191"/>
      <c r="N53" s="191">
        <v>0</v>
      </c>
      <c r="O53" s="223"/>
      <c r="P53" s="191"/>
      <c r="Q53" s="191"/>
      <c r="R53" s="191"/>
      <c r="S53" s="191"/>
    </row>
    <row r="54" spans="2:19" s="5" customFormat="1" ht="15.75" x14ac:dyDescent="0.25">
      <c r="B54" s="220"/>
      <c r="C54" s="190"/>
      <c r="D54" s="191" t="s">
        <v>361</v>
      </c>
      <c r="E54" s="191"/>
      <c r="F54" s="191">
        <v>6000</v>
      </c>
      <c r="G54" s="221"/>
      <c r="H54" s="191"/>
      <c r="I54" s="222"/>
      <c r="J54" s="191"/>
      <c r="K54" s="191"/>
      <c r="L54" s="191" t="s">
        <v>362</v>
      </c>
      <c r="M54" s="191"/>
      <c r="N54" s="191">
        <v>0</v>
      </c>
      <c r="O54" s="223"/>
      <c r="P54" s="191"/>
      <c r="Q54" s="191"/>
      <c r="R54" s="191"/>
      <c r="S54" s="191"/>
    </row>
    <row r="55" spans="2:19" s="5" customFormat="1" ht="16.5" thickBot="1" x14ac:dyDescent="0.3">
      <c r="B55" s="225"/>
      <c r="C55" s="226"/>
      <c r="D55" s="227" t="s">
        <v>363</v>
      </c>
      <c r="E55" s="228"/>
      <c r="F55" s="229">
        <v>10000</v>
      </c>
      <c r="G55" s="230"/>
      <c r="H55" s="192"/>
      <c r="I55" s="231"/>
      <c r="J55" s="191"/>
      <c r="K55" s="191"/>
      <c r="L55" s="191" t="s">
        <v>364</v>
      </c>
      <c r="M55" s="191"/>
      <c r="N55" s="191">
        <v>5000</v>
      </c>
      <c r="O55" s="223"/>
      <c r="P55" s="191"/>
      <c r="Q55" s="191"/>
      <c r="R55" s="191"/>
      <c r="S55" s="191"/>
    </row>
    <row r="56" spans="2:19" s="5" customFormat="1" ht="16.5" thickBot="1" x14ac:dyDescent="0.3">
      <c r="B56" s="225"/>
      <c r="C56" s="226"/>
      <c r="D56" s="228" t="s">
        <v>206</v>
      </c>
      <c r="E56" s="228"/>
      <c r="F56" s="229"/>
      <c r="G56" s="230">
        <f>SUM(F48:F55)</f>
        <v>584500</v>
      </c>
      <c r="H56" s="192"/>
      <c r="I56" s="231"/>
      <c r="J56" s="191"/>
      <c r="K56" s="191"/>
      <c r="L56" s="191"/>
      <c r="M56" s="191"/>
      <c r="N56" s="191"/>
      <c r="O56" s="223">
        <f>-SUM(N53:N55)</f>
        <v>-5000</v>
      </c>
      <c r="P56" s="191"/>
      <c r="Q56" s="191"/>
      <c r="R56" s="191"/>
      <c r="S56" s="191"/>
    </row>
    <row r="57" spans="2:19" s="5" customFormat="1" ht="16.5" thickBot="1" x14ac:dyDescent="0.3">
      <c r="C57" s="190"/>
      <c r="D57" s="192"/>
      <c r="E57" s="192"/>
      <c r="F57" s="232"/>
      <c r="G57" s="192"/>
      <c r="H57" s="192"/>
      <c r="I57" s="233"/>
      <c r="J57" s="234"/>
      <c r="K57" s="234"/>
      <c r="L57" s="234"/>
      <c r="M57" s="234" t="s">
        <v>206</v>
      </c>
      <c r="N57" s="234"/>
      <c r="O57" s="235">
        <f>O52+O56</f>
        <v>8246017.1098490003</v>
      </c>
      <c r="P57" s="191"/>
      <c r="Q57" s="191"/>
      <c r="R57" s="191"/>
      <c r="S57" s="191"/>
    </row>
    <row r="58" spans="2:19" s="5" customFormat="1" ht="15.75" x14ac:dyDescent="0.25"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</row>
    <row r="59" spans="2:19" s="5" customFormat="1" ht="15.75" x14ac:dyDescent="0.25"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</row>
    <row r="60" spans="2:19" s="5" customFormat="1" ht="15.75" x14ac:dyDescent="0.25">
      <c r="C60" s="190"/>
      <c r="D60" s="191"/>
      <c r="E60" s="191"/>
      <c r="F60" s="191"/>
      <c r="G60" s="191"/>
      <c r="H60" s="191"/>
      <c r="I60" s="192" t="s">
        <v>365</v>
      </c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2:19" s="5" customFormat="1" ht="15.75" x14ac:dyDescent="0.25">
      <c r="C61" s="190"/>
      <c r="D61" s="191"/>
      <c r="E61" s="191"/>
      <c r="F61" s="191"/>
      <c r="G61" s="191"/>
      <c r="H61" s="191"/>
      <c r="I61" s="191" t="s">
        <v>366</v>
      </c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  <row r="62" spans="2:19" s="5" customFormat="1" ht="15.75" x14ac:dyDescent="0.25">
      <c r="C62" s="190"/>
      <c r="D62" s="191"/>
      <c r="E62" s="191"/>
      <c r="F62" s="191"/>
      <c r="G62" s="191"/>
      <c r="H62" s="191"/>
      <c r="I62" s="191" t="s">
        <v>367</v>
      </c>
      <c r="J62" s="191"/>
      <c r="K62" s="191"/>
      <c r="L62" s="191"/>
      <c r="M62" s="191"/>
      <c r="N62" s="191"/>
      <c r="O62" s="191"/>
      <c r="P62" s="191"/>
      <c r="Q62" s="191"/>
      <c r="R62" s="191"/>
      <c r="S62" s="191"/>
    </row>
    <row r="63" spans="2:19" s="5" customFormat="1" ht="15.75" x14ac:dyDescent="0.25">
      <c r="C63" s="190"/>
      <c r="D63" s="191"/>
      <c r="E63" s="191"/>
      <c r="F63" s="191"/>
      <c r="G63" s="191"/>
      <c r="H63" s="191"/>
      <c r="I63" s="191" t="s">
        <v>368</v>
      </c>
      <c r="J63" s="191"/>
      <c r="K63" s="191"/>
      <c r="L63" s="191"/>
      <c r="M63" s="191"/>
      <c r="N63" s="191"/>
      <c r="O63" s="191"/>
      <c r="P63" s="191"/>
      <c r="Q63" s="191"/>
      <c r="R63" s="191"/>
      <c r="S63" s="191"/>
    </row>
    <row r="64" spans="2:19" s="5" customFormat="1" ht="15.75" x14ac:dyDescent="0.25">
      <c r="C64" s="190"/>
      <c r="D64" s="191"/>
      <c r="E64" s="191"/>
      <c r="F64" s="191"/>
      <c r="G64" s="191"/>
      <c r="H64" s="191"/>
      <c r="I64" s="191" t="s">
        <v>369</v>
      </c>
      <c r="J64" s="191"/>
      <c r="K64" s="191"/>
      <c r="L64" s="191"/>
      <c r="M64" s="191"/>
      <c r="N64" s="191"/>
      <c r="O64" s="191"/>
      <c r="P64" s="191"/>
      <c r="Q64" s="191"/>
      <c r="R64" s="191"/>
      <c r="S64" s="191"/>
    </row>
    <row r="65" spans="3:19" s="5" customFormat="1" ht="15.75" x14ac:dyDescent="0.25">
      <c r="C65" s="190"/>
      <c r="D65" s="191"/>
      <c r="E65" s="191"/>
      <c r="F65" s="191"/>
      <c r="G65" s="191"/>
      <c r="H65" s="191"/>
      <c r="I65" s="191" t="s">
        <v>370</v>
      </c>
      <c r="J65" s="191"/>
      <c r="K65" s="191"/>
      <c r="L65" s="191"/>
      <c r="M65" s="191"/>
      <c r="N65" s="191"/>
      <c r="O65" s="191"/>
      <c r="P65" s="191"/>
      <c r="Q65" s="191"/>
      <c r="R65" s="191"/>
      <c r="S65" s="191"/>
    </row>
    <row r="66" spans="3:19" s="5" customFormat="1" ht="15.75" x14ac:dyDescent="0.25">
      <c r="C66" s="190"/>
      <c r="D66" s="191"/>
      <c r="E66" s="191"/>
      <c r="F66" s="191"/>
      <c r="G66" s="191"/>
      <c r="H66" s="191"/>
      <c r="I66" s="191" t="s">
        <v>371</v>
      </c>
      <c r="J66" s="191"/>
      <c r="K66" s="191"/>
      <c r="L66" s="191"/>
      <c r="M66" s="191"/>
      <c r="N66" s="191"/>
      <c r="O66" s="191"/>
      <c r="P66" s="191"/>
      <c r="Q66" s="191"/>
      <c r="R66" s="191"/>
      <c r="S66" s="191"/>
    </row>
    <row r="67" spans="3:19" s="5" customFormat="1" ht="15.75" x14ac:dyDescent="0.25">
      <c r="C67" s="190"/>
      <c r="D67" s="191"/>
      <c r="E67" s="191"/>
      <c r="F67" s="191"/>
      <c r="G67" s="191"/>
      <c r="H67" s="191"/>
      <c r="I67" s="191" t="s">
        <v>372</v>
      </c>
      <c r="J67" s="191"/>
      <c r="K67" s="191"/>
      <c r="L67" s="191"/>
      <c r="M67" s="191"/>
      <c r="N67" s="191"/>
      <c r="O67" s="191"/>
      <c r="P67" s="191"/>
      <c r="Q67" s="191"/>
      <c r="R67" s="191"/>
      <c r="S67" s="191"/>
    </row>
    <row r="68" spans="3:19" s="5" customFormat="1" ht="15.75" x14ac:dyDescent="0.25">
      <c r="C68" s="190"/>
      <c r="D68" s="191"/>
      <c r="E68" s="191"/>
      <c r="F68" s="191"/>
      <c r="G68" s="191"/>
      <c r="H68" s="191"/>
      <c r="I68" s="191" t="s">
        <v>373</v>
      </c>
      <c r="J68" s="191"/>
      <c r="K68" s="191"/>
      <c r="L68" s="191"/>
      <c r="M68" s="191"/>
      <c r="N68" s="191"/>
      <c r="O68" s="191"/>
      <c r="P68" s="191"/>
      <c r="Q68" s="191"/>
      <c r="R68" s="191"/>
      <c r="S68" s="191"/>
    </row>
    <row r="69" spans="3:19" s="5" customFormat="1" ht="15.75" x14ac:dyDescent="0.25">
      <c r="C69" s="190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</row>
    <row r="70" spans="3:19" s="5" customFormat="1" ht="15.75" x14ac:dyDescent="0.25">
      <c r="C70" s="190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</row>
    <row r="71" spans="3:19" s="5" customFormat="1" ht="15.75" x14ac:dyDescent="0.25">
      <c r="C71" s="190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</row>
    <row r="72" spans="3:19" s="5" customFormat="1" ht="15.75" x14ac:dyDescent="0.25"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</row>
    <row r="73" spans="3:19" s="5" customFormat="1" ht="15.75" x14ac:dyDescent="0.25">
      <c r="C73" s="190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</row>
    <row r="74" spans="3:19" s="5" customFormat="1" ht="15.75" x14ac:dyDescent="0.25"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</row>
    <row r="75" spans="3:19" s="5" customFormat="1" ht="15.75" x14ac:dyDescent="0.25">
      <c r="C75" s="190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</row>
    <row r="76" spans="3:19" s="5" customFormat="1" ht="15.75" x14ac:dyDescent="0.25">
      <c r="C76" s="190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</row>
    <row r="77" spans="3:19" s="5" customFormat="1" ht="15.75" x14ac:dyDescent="0.25">
      <c r="C77" s="190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</row>
    <row r="78" spans="3:19" s="5" customFormat="1" ht="15.75" x14ac:dyDescent="0.25">
      <c r="C78" s="190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</row>
    <row r="79" spans="3:19" s="5" customFormat="1" ht="15.75" x14ac:dyDescent="0.25">
      <c r="C79" s="190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</row>
    <row r="80" spans="3:19" s="5" customFormat="1" ht="15.75" x14ac:dyDescent="0.25">
      <c r="C80" s="190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</row>
    <row r="81" spans="3:19" s="5" customFormat="1" ht="15.75" x14ac:dyDescent="0.25">
      <c r="C81" s="190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</row>
    <row r="82" spans="3:19" s="5" customFormat="1" ht="15.75" x14ac:dyDescent="0.25">
      <c r="C82" s="190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</row>
    <row r="83" spans="3:19" s="5" customFormat="1" ht="15.75" x14ac:dyDescent="0.25">
      <c r="C83" s="190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</row>
    <row r="84" spans="3:19" s="5" customFormat="1" ht="15.75" x14ac:dyDescent="0.25">
      <c r="C84" s="190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</row>
    <row r="85" spans="3:19" s="5" customFormat="1" ht="15.75" x14ac:dyDescent="0.25">
      <c r="C85" s="190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</row>
    <row r="86" spans="3:19" s="5" customFormat="1" ht="15.75" x14ac:dyDescent="0.25">
      <c r="C86" s="190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</row>
    <row r="87" spans="3:19" s="5" customFormat="1" ht="15.75" x14ac:dyDescent="0.25">
      <c r="C87" s="190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</row>
    <row r="88" spans="3:19" s="5" customFormat="1" ht="15.75" x14ac:dyDescent="0.25">
      <c r="C88" s="190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</row>
    <row r="89" spans="3:19" s="5" customFormat="1" ht="15.75" x14ac:dyDescent="0.25">
      <c r="C89" s="190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</row>
    <row r="90" spans="3:19" s="5" customFormat="1" ht="15.75" x14ac:dyDescent="0.25">
      <c r="C90" s="190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</row>
    <row r="91" spans="3:19" s="5" customFormat="1" ht="15.75" x14ac:dyDescent="0.25">
      <c r="C91" s="190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</row>
    <row r="92" spans="3:19" s="5" customFormat="1" ht="15.75" x14ac:dyDescent="0.25">
      <c r="C92" s="190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</row>
    <row r="93" spans="3:19" s="5" customFormat="1" ht="15.75" x14ac:dyDescent="0.25">
      <c r="C93" s="190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</row>
    <row r="94" spans="3:19" s="5" customFormat="1" ht="15.75" x14ac:dyDescent="0.25">
      <c r="C94" s="190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</row>
    <row r="95" spans="3:19" s="5" customFormat="1" ht="15.75" x14ac:dyDescent="0.25">
      <c r="C95" s="190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</row>
    <row r="96" spans="3:19" s="5" customFormat="1" ht="15.75" x14ac:dyDescent="0.25">
      <c r="C96" s="190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</row>
    <row r="97" spans="3:19" s="5" customFormat="1" ht="15.75" x14ac:dyDescent="0.25">
      <c r="C97" s="190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</row>
    <row r="98" spans="3:19" s="5" customFormat="1" ht="15.75" x14ac:dyDescent="0.25">
      <c r="C98" s="190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</row>
    <row r="99" spans="3:19" s="5" customFormat="1" ht="15.75" x14ac:dyDescent="0.25">
      <c r="C99" s="190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</row>
    <row r="100" spans="3:19" s="5" customFormat="1" ht="15.75" x14ac:dyDescent="0.25">
      <c r="C100" s="190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</row>
    <row r="101" spans="3:19" s="5" customFormat="1" ht="15.75" x14ac:dyDescent="0.25">
      <c r="C101" s="190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</row>
    <row r="102" spans="3:19" s="5" customFormat="1" ht="15.75" x14ac:dyDescent="0.25">
      <c r="C102" s="190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</row>
    <row r="103" spans="3:19" s="5" customFormat="1" ht="15.75" x14ac:dyDescent="0.25">
      <c r="C103" s="190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</row>
    <row r="104" spans="3:19" s="5" customFormat="1" ht="15.75" x14ac:dyDescent="0.25">
      <c r="C104" s="190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</row>
    <row r="105" spans="3:19" s="5" customFormat="1" ht="15.75" x14ac:dyDescent="0.25">
      <c r="C105" s="190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</row>
    <row r="106" spans="3:19" s="5" customFormat="1" ht="15.75" x14ac:dyDescent="0.25">
      <c r="C106" s="190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</row>
    <row r="107" spans="3:19" s="5" customFormat="1" ht="15.75" x14ac:dyDescent="0.25">
      <c r="C107" s="190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</row>
    <row r="108" spans="3:19" s="5" customFormat="1" ht="15.75" x14ac:dyDescent="0.25">
      <c r="C108" s="190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</row>
    <row r="109" spans="3:19" s="5" customFormat="1" ht="15.75" x14ac:dyDescent="0.25">
      <c r="C109" s="190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</row>
    <row r="110" spans="3:19" s="5" customFormat="1" ht="15.75" x14ac:dyDescent="0.25">
      <c r="C110" s="190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</row>
    <row r="111" spans="3:19" s="5" customFormat="1" ht="15.75" x14ac:dyDescent="0.25">
      <c r="C111" s="190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</row>
    <row r="112" spans="3:19" s="5" customFormat="1" ht="15.75" x14ac:dyDescent="0.25">
      <c r="C112" s="190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</row>
    <row r="113" spans="3:19" s="5" customFormat="1" ht="15.75" x14ac:dyDescent="0.25">
      <c r="C113" s="190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</row>
    <row r="114" spans="3:19" s="5" customFormat="1" ht="15.75" x14ac:dyDescent="0.25">
      <c r="C114" s="190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</row>
    <row r="115" spans="3:19" s="5" customFormat="1" ht="15.75" x14ac:dyDescent="0.25">
      <c r="C115" s="190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</row>
    <row r="116" spans="3:19" s="5" customFormat="1" ht="15.75" x14ac:dyDescent="0.25">
      <c r="C116" s="190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</row>
    <row r="117" spans="3:19" s="5" customFormat="1" ht="15.75" x14ac:dyDescent="0.25">
      <c r="C117" s="190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</row>
    <row r="118" spans="3:19" s="5" customFormat="1" ht="15.75" x14ac:dyDescent="0.25"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</row>
    <row r="119" spans="3:19" s="5" customFormat="1" ht="15.75" x14ac:dyDescent="0.25">
      <c r="C119" s="190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</row>
    <row r="120" spans="3:19" s="5" customFormat="1" ht="15.75" x14ac:dyDescent="0.25">
      <c r="C120" s="190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</row>
    <row r="121" spans="3:19" s="5" customFormat="1" ht="15.75" x14ac:dyDescent="0.25">
      <c r="C121" s="190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</row>
    <row r="122" spans="3:19" s="5" customFormat="1" ht="15.75" x14ac:dyDescent="0.25">
      <c r="C122" s="190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</row>
    <row r="123" spans="3:19" s="5" customFormat="1" ht="15.75" x14ac:dyDescent="0.25">
      <c r="C123" s="190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</row>
    <row r="124" spans="3:19" s="5" customFormat="1" ht="15.75" x14ac:dyDescent="0.25">
      <c r="C124" s="190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</row>
    <row r="125" spans="3:19" s="5" customFormat="1" ht="15.75" x14ac:dyDescent="0.25">
      <c r="C125" s="190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</row>
    <row r="126" spans="3:19" s="5" customFormat="1" ht="15.75" x14ac:dyDescent="0.25">
      <c r="C126" s="190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</row>
    <row r="127" spans="3:19" s="5" customFormat="1" ht="15.75" x14ac:dyDescent="0.25">
      <c r="C127" s="190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</row>
    <row r="128" spans="3:19" s="5" customFormat="1" ht="15.75" x14ac:dyDescent="0.25">
      <c r="C128" s="190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</row>
    <row r="129" spans="3:19" s="5" customFormat="1" ht="15.75" x14ac:dyDescent="0.25">
      <c r="C129" s="190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</row>
    <row r="130" spans="3:19" s="5" customFormat="1" ht="15.75" x14ac:dyDescent="0.25">
      <c r="C130" s="190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</row>
    <row r="131" spans="3:19" s="5" customFormat="1" ht="15.75" x14ac:dyDescent="0.25">
      <c r="C131" s="190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</row>
    <row r="132" spans="3:19" s="5" customFormat="1" ht="15.75" x14ac:dyDescent="0.25">
      <c r="C132" s="190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</row>
    <row r="133" spans="3:19" s="5" customFormat="1" ht="15.75" x14ac:dyDescent="0.25">
      <c r="C133" s="190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</row>
    <row r="134" spans="3:19" s="5" customFormat="1" ht="15.75" x14ac:dyDescent="0.25">
      <c r="C134" s="190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</row>
    <row r="135" spans="3:19" s="5" customFormat="1" ht="15.75" x14ac:dyDescent="0.25">
      <c r="C135" s="190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</row>
    <row r="136" spans="3:19" s="5" customFormat="1" ht="15.75" x14ac:dyDescent="0.25">
      <c r="C136" s="190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</row>
    <row r="137" spans="3:19" s="5" customFormat="1" ht="15.75" x14ac:dyDescent="0.25">
      <c r="C137" s="190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</row>
    <row r="138" spans="3:19" s="5" customFormat="1" ht="15.75" x14ac:dyDescent="0.25">
      <c r="C138" s="190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</row>
    <row r="139" spans="3:19" s="5" customFormat="1" ht="15.75" x14ac:dyDescent="0.25">
      <c r="C139" s="190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</row>
    <row r="140" spans="3:19" s="5" customFormat="1" ht="15.75" x14ac:dyDescent="0.25">
      <c r="C140" s="190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</row>
    <row r="141" spans="3:19" s="5" customFormat="1" ht="15.75" x14ac:dyDescent="0.25">
      <c r="C141" s="190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</row>
    <row r="142" spans="3:19" s="5" customFormat="1" ht="15.75" x14ac:dyDescent="0.25">
      <c r="C142" s="190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</row>
    <row r="143" spans="3:19" s="5" customFormat="1" ht="15.75" x14ac:dyDescent="0.25">
      <c r="C143" s="190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</row>
    <row r="144" spans="3:19" s="5" customFormat="1" ht="15.75" x14ac:dyDescent="0.25">
      <c r="C144" s="190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</row>
    <row r="145" spans="3:19" s="5" customFormat="1" ht="15.75" x14ac:dyDescent="0.25">
      <c r="C145" s="190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</row>
    <row r="146" spans="3:19" s="5" customFormat="1" ht="15.75" x14ac:dyDescent="0.25">
      <c r="C146" s="190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</row>
    <row r="147" spans="3:19" s="5" customFormat="1" ht="15.75" x14ac:dyDescent="0.25">
      <c r="C147" s="190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</row>
    <row r="148" spans="3:19" s="5" customFormat="1" ht="15.75" x14ac:dyDescent="0.25">
      <c r="C148" s="190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</row>
    <row r="149" spans="3:19" s="5" customFormat="1" ht="15.75" x14ac:dyDescent="0.25">
      <c r="C149" s="190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</row>
    <row r="150" spans="3:19" s="5" customFormat="1" ht="15.75" x14ac:dyDescent="0.25">
      <c r="C150" s="190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</row>
    <row r="151" spans="3:19" s="5" customFormat="1" ht="15.75" x14ac:dyDescent="0.25">
      <c r="C151" s="190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</row>
    <row r="152" spans="3:19" s="5" customFormat="1" ht="15.75" x14ac:dyDescent="0.25">
      <c r="C152" s="190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</row>
    <row r="153" spans="3:19" s="5" customFormat="1" ht="15.75" x14ac:dyDescent="0.25">
      <c r="C153" s="190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</row>
    <row r="154" spans="3:19" s="5" customFormat="1" ht="15.75" x14ac:dyDescent="0.25">
      <c r="C154" s="190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</row>
    <row r="155" spans="3:19" s="5" customFormat="1" ht="15.75" x14ac:dyDescent="0.25">
      <c r="C155" s="190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</row>
    <row r="156" spans="3:19" s="5" customFormat="1" ht="15.75" x14ac:dyDescent="0.25">
      <c r="C156" s="190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</row>
    <row r="157" spans="3:19" s="5" customFormat="1" ht="15.75" x14ac:dyDescent="0.25">
      <c r="C157" s="190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</row>
    <row r="158" spans="3:19" s="5" customFormat="1" ht="15.75" x14ac:dyDescent="0.25">
      <c r="C158" s="190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</row>
    <row r="159" spans="3:19" s="5" customFormat="1" ht="15.75" x14ac:dyDescent="0.25">
      <c r="C159" s="190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</row>
    <row r="160" spans="3:19" s="5" customFormat="1" ht="15.75" x14ac:dyDescent="0.25">
      <c r="C160" s="190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</row>
    <row r="161" spans="3:19" s="5" customFormat="1" ht="15.75" x14ac:dyDescent="0.25">
      <c r="C161" s="190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</row>
    <row r="162" spans="3:19" s="5" customFormat="1" ht="15.75" x14ac:dyDescent="0.25">
      <c r="C162" s="190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</row>
    <row r="163" spans="3:19" s="5" customFormat="1" ht="15.75" x14ac:dyDescent="0.25">
      <c r="C163" s="190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</row>
    <row r="164" spans="3:19" s="5" customFormat="1" ht="15.75" x14ac:dyDescent="0.25">
      <c r="C164" s="190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</row>
    <row r="165" spans="3:19" s="5" customFormat="1" ht="15.75" x14ac:dyDescent="0.25">
      <c r="C165" s="190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</row>
    <row r="166" spans="3:19" s="5" customFormat="1" ht="15.75" x14ac:dyDescent="0.25">
      <c r="C166" s="190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</row>
    <row r="167" spans="3:19" s="5" customFormat="1" ht="15.75" x14ac:dyDescent="0.25">
      <c r="C167" s="190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</row>
    <row r="168" spans="3:19" s="5" customFormat="1" ht="15.75" x14ac:dyDescent="0.25">
      <c r="C168" s="190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</row>
    <row r="169" spans="3:19" s="5" customFormat="1" ht="15.75" x14ac:dyDescent="0.25">
      <c r="C169" s="190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</row>
    <row r="170" spans="3:19" s="5" customFormat="1" ht="15.75" x14ac:dyDescent="0.25">
      <c r="C170" s="190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</row>
    <row r="171" spans="3:19" s="5" customFormat="1" ht="15.75" x14ac:dyDescent="0.25">
      <c r="C171" s="190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</row>
    <row r="172" spans="3:19" s="5" customFormat="1" ht="15.75" x14ac:dyDescent="0.25">
      <c r="C172" s="190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</row>
    <row r="173" spans="3:19" s="5" customFormat="1" ht="15.75" x14ac:dyDescent="0.25">
      <c r="C173" s="190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</row>
    <row r="174" spans="3:19" s="5" customFormat="1" ht="15.75" x14ac:dyDescent="0.25">
      <c r="C174" s="190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</row>
    <row r="175" spans="3:19" s="5" customFormat="1" ht="15.75" x14ac:dyDescent="0.25">
      <c r="C175" s="190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</row>
    <row r="176" spans="3:19" s="5" customFormat="1" ht="15.75" x14ac:dyDescent="0.25">
      <c r="C176" s="190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</row>
    <row r="177" spans="3:19" s="5" customFormat="1" ht="15.75" x14ac:dyDescent="0.25">
      <c r="C177" s="190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</row>
    <row r="178" spans="3:19" s="5" customFormat="1" ht="15.75" x14ac:dyDescent="0.25">
      <c r="C178" s="190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</row>
    <row r="179" spans="3:19" s="5" customFormat="1" ht="15.75" x14ac:dyDescent="0.25">
      <c r="C179" s="190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</row>
    <row r="180" spans="3:19" s="5" customFormat="1" ht="15.75" x14ac:dyDescent="0.25">
      <c r="C180" s="190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</row>
    <row r="181" spans="3:19" s="5" customFormat="1" ht="15.75" x14ac:dyDescent="0.25">
      <c r="C181" s="190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</row>
    <row r="182" spans="3:19" s="5" customFormat="1" ht="15.75" x14ac:dyDescent="0.25">
      <c r="C182" s="190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</row>
    <row r="183" spans="3:19" s="5" customFormat="1" ht="15.75" x14ac:dyDescent="0.25">
      <c r="C183" s="190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</row>
    <row r="184" spans="3:19" s="5" customFormat="1" ht="15.75" x14ac:dyDescent="0.25">
      <c r="C184" s="190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</row>
    <row r="185" spans="3:19" s="5" customFormat="1" ht="15.75" x14ac:dyDescent="0.25">
      <c r="C185" s="190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</row>
    <row r="186" spans="3:19" s="5" customFormat="1" ht="15.75" x14ac:dyDescent="0.25">
      <c r="C186" s="190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</row>
    <row r="187" spans="3:19" s="5" customFormat="1" ht="15.75" x14ac:dyDescent="0.25">
      <c r="C187" s="190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</row>
    <row r="188" spans="3:19" s="5" customFormat="1" ht="15.75" x14ac:dyDescent="0.25">
      <c r="C188" s="190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</row>
    <row r="189" spans="3:19" s="5" customFormat="1" ht="15.75" x14ac:dyDescent="0.25">
      <c r="C189" s="190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</row>
    <row r="190" spans="3:19" s="5" customFormat="1" ht="15.75" x14ac:dyDescent="0.25">
      <c r="C190" s="190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</row>
    <row r="191" spans="3:19" s="5" customFormat="1" ht="15.75" x14ac:dyDescent="0.25">
      <c r="C191" s="190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</row>
    <row r="192" spans="3:19" s="5" customFormat="1" ht="15.75" x14ac:dyDescent="0.25">
      <c r="C192" s="190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</row>
    <row r="193" spans="3:19" s="5" customFormat="1" ht="15.75" x14ac:dyDescent="0.25">
      <c r="C193" s="190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</row>
    <row r="194" spans="3:19" s="5" customFormat="1" ht="15.75" x14ac:dyDescent="0.25">
      <c r="C194" s="190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</row>
    <row r="195" spans="3:19" s="5" customFormat="1" ht="15.75" x14ac:dyDescent="0.25">
      <c r="C195" s="190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</row>
    <row r="196" spans="3:19" s="5" customFormat="1" ht="15.75" x14ac:dyDescent="0.25">
      <c r="C196" s="190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</row>
    <row r="197" spans="3:19" s="5" customFormat="1" ht="15.75" x14ac:dyDescent="0.25">
      <c r="C197" s="190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</row>
    <row r="198" spans="3:19" s="5" customFormat="1" ht="15.75" x14ac:dyDescent="0.25">
      <c r="C198" s="190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</row>
    <row r="199" spans="3:19" s="5" customFormat="1" ht="15.75" x14ac:dyDescent="0.25">
      <c r="C199" s="190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</row>
    <row r="200" spans="3:19" s="5" customFormat="1" ht="15.75" x14ac:dyDescent="0.25">
      <c r="C200" s="190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</row>
    <row r="201" spans="3:19" s="5" customFormat="1" ht="15.75" x14ac:dyDescent="0.25">
      <c r="C201" s="190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</row>
    <row r="202" spans="3:19" s="5" customFormat="1" ht="15.75" x14ac:dyDescent="0.25">
      <c r="C202" s="190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</row>
    <row r="203" spans="3:19" s="5" customFormat="1" ht="15.75" x14ac:dyDescent="0.25">
      <c r="C203" s="190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</row>
    <row r="204" spans="3:19" s="5" customFormat="1" ht="15.75" x14ac:dyDescent="0.25">
      <c r="C204" s="190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</row>
    <row r="205" spans="3:19" s="5" customFormat="1" ht="15.75" x14ac:dyDescent="0.25">
      <c r="C205" s="190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</row>
    <row r="206" spans="3:19" s="5" customFormat="1" ht="15.75" x14ac:dyDescent="0.25">
      <c r="C206" s="190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</row>
    <row r="207" spans="3:19" s="5" customFormat="1" ht="15.75" x14ac:dyDescent="0.25">
      <c r="C207" s="190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</row>
    <row r="208" spans="3:19" s="5" customFormat="1" ht="15.75" x14ac:dyDescent="0.25">
      <c r="C208" s="190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</row>
    <row r="209" spans="3:19" s="5" customFormat="1" ht="15.75" x14ac:dyDescent="0.25">
      <c r="C209" s="190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</row>
    <row r="210" spans="3:19" s="5" customFormat="1" ht="15.75" x14ac:dyDescent="0.25">
      <c r="C210" s="190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</row>
    <row r="211" spans="3:19" s="5" customFormat="1" ht="15.75" x14ac:dyDescent="0.25">
      <c r="C211" s="190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</row>
    <row r="212" spans="3:19" s="5" customFormat="1" ht="15.75" x14ac:dyDescent="0.25">
      <c r="C212" s="190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</row>
    <row r="213" spans="3:19" s="5" customFormat="1" ht="15.75" x14ac:dyDescent="0.25">
      <c r="C213" s="190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</row>
    <row r="214" spans="3:19" s="5" customFormat="1" ht="15.75" x14ac:dyDescent="0.25">
      <c r="C214" s="190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</row>
    <row r="215" spans="3:19" s="5" customFormat="1" ht="15.75" x14ac:dyDescent="0.25">
      <c r="C215" s="190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</row>
    <row r="216" spans="3:19" s="5" customFormat="1" ht="15.75" x14ac:dyDescent="0.25">
      <c r="C216" s="190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</row>
    <row r="217" spans="3:19" s="5" customFormat="1" ht="15.75" x14ac:dyDescent="0.25">
      <c r="C217" s="190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</row>
    <row r="218" spans="3:19" s="5" customFormat="1" ht="15.75" x14ac:dyDescent="0.25">
      <c r="C218" s="190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</row>
    <row r="219" spans="3:19" s="5" customFormat="1" ht="15.75" x14ac:dyDescent="0.25">
      <c r="C219" s="190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</row>
    <row r="220" spans="3:19" s="5" customFormat="1" ht="15.75" x14ac:dyDescent="0.25">
      <c r="C220" s="190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</row>
    <row r="221" spans="3:19" s="5" customFormat="1" ht="15.75" x14ac:dyDescent="0.25">
      <c r="C221" s="190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</row>
    <row r="222" spans="3:19" s="5" customFormat="1" ht="15.75" x14ac:dyDescent="0.25">
      <c r="C222" s="190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</row>
    <row r="223" spans="3:19" s="5" customFormat="1" ht="15.75" x14ac:dyDescent="0.25">
      <c r="C223" s="190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</row>
    <row r="224" spans="3:19" s="5" customFormat="1" ht="15.75" x14ac:dyDescent="0.25">
      <c r="C224" s="190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</row>
    <row r="225" spans="3:19" s="5" customFormat="1" ht="15.75" x14ac:dyDescent="0.25">
      <c r="C225" s="190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</row>
    <row r="226" spans="3:19" s="5" customFormat="1" ht="15.75" x14ac:dyDescent="0.25">
      <c r="C226" s="190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</row>
    <row r="227" spans="3:19" s="5" customFormat="1" ht="15.75" x14ac:dyDescent="0.25">
      <c r="C227" s="190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</row>
    <row r="228" spans="3:19" s="5" customFormat="1" ht="15.75" x14ac:dyDescent="0.25">
      <c r="C228" s="190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</row>
    <row r="229" spans="3:19" s="5" customFormat="1" ht="15.75" x14ac:dyDescent="0.25">
      <c r="C229" s="190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</row>
    <row r="230" spans="3:19" s="5" customFormat="1" ht="15.75" x14ac:dyDescent="0.25">
      <c r="C230" s="190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</row>
    <row r="231" spans="3:19" s="5" customFormat="1" ht="15.75" x14ac:dyDescent="0.25">
      <c r="C231" s="190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</row>
    <row r="232" spans="3:19" s="5" customFormat="1" ht="15.75" x14ac:dyDescent="0.25">
      <c r="C232" s="190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</row>
    <row r="233" spans="3:19" s="5" customFormat="1" ht="15.75" x14ac:dyDescent="0.25">
      <c r="C233" s="190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</row>
    <row r="234" spans="3:19" s="5" customFormat="1" ht="15.75" x14ac:dyDescent="0.25">
      <c r="C234" s="190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</row>
    <row r="235" spans="3:19" s="5" customFormat="1" ht="15.75" x14ac:dyDescent="0.25">
      <c r="C235" s="190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</row>
    <row r="236" spans="3:19" s="5" customFormat="1" ht="15.75" x14ac:dyDescent="0.25">
      <c r="C236" s="190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</row>
    <row r="237" spans="3:19" s="5" customFormat="1" ht="15.75" x14ac:dyDescent="0.25">
      <c r="C237" s="190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</row>
    <row r="238" spans="3:19" s="5" customFormat="1" ht="15.75" x14ac:dyDescent="0.25">
      <c r="C238" s="190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</row>
    <row r="239" spans="3:19" s="5" customFormat="1" ht="15.75" x14ac:dyDescent="0.25">
      <c r="C239" s="190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</row>
    <row r="240" spans="3:19" s="5" customFormat="1" ht="15.75" x14ac:dyDescent="0.25">
      <c r="C240" s="190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</row>
    <row r="241" spans="3:19" s="5" customFormat="1" ht="15.75" x14ac:dyDescent="0.25">
      <c r="C241" s="190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</row>
    <row r="242" spans="3:19" s="5" customFormat="1" ht="15.75" x14ac:dyDescent="0.25">
      <c r="C242" s="190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</row>
    <row r="243" spans="3:19" s="5" customFormat="1" ht="15.75" x14ac:dyDescent="0.25">
      <c r="C243" s="190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</row>
    <row r="244" spans="3:19" s="5" customFormat="1" ht="15.75" x14ac:dyDescent="0.25">
      <c r="C244" s="190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</row>
    <row r="245" spans="3:19" s="5" customFormat="1" ht="15.75" x14ac:dyDescent="0.25">
      <c r="C245" s="190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</row>
    <row r="246" spans="3:19" s="5" customFormat="1" ht="15.75" x14ac:dyDescent="0.25">
      <c r="C246" s="190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</row>
    <row r="247" spans="3:19" s="5" customFormat="1" ht="15.75" x14ac:dyDescent="0.25">
      <c r="C247" s="190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</row>
    <row r="248" spans="3:19" s="5" customFormat="1" ht="15.75" x14ac:dyDescent="0.25">
      <c r="C248" s="190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</row>
    <row r="249" spans="3:19" s="5" customFormat="1" ht="15.75" x14ac:dyDescent="0.25">
      <c r="C249" s="190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</row>
    <row r="250" spans="3:19" s="5" customFormat="1" ht="15.75" x14ac:dyDescent="0.25">
      <c r="C250" s="190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</row>
    <row r="251" spans="3:19" s="5" customFormat="1" ht="15.75" x14ac:dyDescent="0.25">
      <c r="C251" s="190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</row>
    <row r="252" spans="3:19" s="5" customFormat="1" ht="15.75" x14ac:dyDescent="0.25">
      <c r="C252" s="190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</row>
    <row r="253" spans="3:19" s="5" customFormat="1" ht="15.75" x14ac:dyDescent="0.25">
      <c r="C253" s="190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</row>
    <row r="254" spans="3:19" s="5" customFormat="1" ht="15.75" x14ac:dyDescent="0.25">
      <c r="C254" s="190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</row>
    <row r="255" spans="3:19" s="5" customFormat="1" ht="15.75" x14ac:dyDescent="0.25">
      <c r="C255" s="190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</row>
    <row r="256" spans="3:19" s="5" customFormat="1" ht="15.75" x14ac:dyDescent="0.25">
      <c r="C256" s="190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</row>
    <row r="257" spans="3:19" s="5" customFormat="1" ht="15.75" x14ac:dyDescent="0.25">
      <c r="C257" s="190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</row>
    <row r="258" spans="3:19" s="5" customFormat="1" ht="15.75" x14ac:dyDescent="0.25">
      <c r="C258" s="190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</row>
    <row r="259" spans="3:19" s="5" customFormat="1" ht="15.75" x14ac:dyDescent="0.25">
      <c r="C259" s="190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</row>
    <row r="260" spans="3:19" s="5" customFormat="1" ht="15.75" x14ac:dyDescent="0.25">
      <c r="C260" s="190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</row>
    <row r="261" spans="3:19" s="5" customFormat="1" ht="15.75" x14ac:dyDescent="0.25">
      <c r="C261" s="190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</row>
    <row r="262" spans="3:19" s="5" customFormat="1" ht="15.75" x14ac:dyDescent="0.25">
      <c r="C262" s="190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</row>
    <row r="263" spans="3:19" s="5" customFormat="1" ht="15.75" x14ac:dyDescent="0.25">
      <c r="C263" s="190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</row>
    <row r="264" spans="3:19" s="5" customFormat="1" ht="15.75" x14ac:dyDescent="0.25">
      <c r="C264" s="190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</row>
    <row r="265" spans="3:19" s="5" customFormat="1" ht="15.75" x14ac:dyDescent="0.25">
      <c r="C265" s="190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</row>
    <row r="266" spans="3:19" s="5" customFormat="1" ht="15.75" x14ac:dyDescent="0.25">
      <c r="C266" s="190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</row>
    <row r="267" spans="3:19" s="5" customFormat="1" ht="15.75" x14ac:dyDescent="0.25">
      <c r="C267" s="190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</row>
    <row r="268" spans="3:19" s="5" customFormat="1" ht="15.75" x14ac:dyDescent="0.25">
      <c r="C268" s="190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</row>
    <row r="269" spans="3:19" s="5" customFormat="1" ht="15.75" x14ac:dyDescent="0.25">
      <c r="C269" s="190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</row>
    <row r="270" spans="3:19" s="5" customFormat="1" ht="15.75" x14ac:dyDescent="0.25">
      <c r="C270" s="190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</row>
    <row r="271" spans="3:19" s="5" customFormat="1" ht="15.75" x14ac:dyDescent="0.25">
      <c r="C271" s="190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</row>
    <row r="272" spans="3:19" s="5" customFormat="1" ht="15.75" x14ac:dyDescent="0.25">
      <c r="C272" s="190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</row>
    <row r="273" spans="3:19" s="5" customFormat="1" ht="15.75" x14ac:dyDescent="0.25">
      <c r="C273" s="190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</row>
    <row r="274" spans="3:19" s="5" customFormat="1" ht="15.75" x14ac:dyDescent="0.25">
      <c r="C274" s="190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</row>
    <row r="275" spans="3:19" s="5" customFormat="1" ht="15.75" x14ac:dyDescent="0.25">
      <c r="C275" s="190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</row>
    <row r="276" spans="3:19" s="5" customFormat="1" ht="15.75" x14ac:dyDescent="0.25">
      <c r="C276" s="190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</row>
    <row r="277" spans="3:19" s="5" customFormat="1" ht="15.75" x14ac:dyDescent="0.25">
      <c r="C277" s="190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</row>
    <row r="278" spans="3:19" s="5" customFormat="1" ht="15.75" x14ac:dyDescent="0.25">
      <c r="C278" s="190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</row>
    <row r="279" spans="3:19" s="5" customFormat="1" ht="15.75" x14ac:dyDescent="0.25">
      <c r="C279" s="190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</row>
    <row r="280" spans="3:19" s="5" customFormat="1" ht="15.75" x14ac:dyDescent="0.25">
      <c r="C280" s="190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</row>
    <row r="281" spans="3:19" s="5" customFormat="1" ht="15.75" x14ac:dyDescent="0.25">
      <c r="C281" s="190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</row>
    <row r="282" spans="3:19" s="5" customFormat="1" ht="15.75" x14ac:dyDescent="0.25">
      <c r="C282" s="190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</row>
    <row r="283" spans="3:19" s="5" customFormat="1" ht="15.75" x14ac:dyDescent="0.25">
      <c r="C283" s="190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</row>
    <row r="284" spans="3:19" s="5" customFormat="1" ht="15.75" x14ac:dyDescent="0.25">
      <c r="C284" s="190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</row>
    <row r="285" spans="3:19" s="5" customFormat="1" ht="15.75" x14ac:dyDescent="0.25">
      <c r="C285" s="190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</row>
    <row r="286" spans="3:19" s="5" customFormat="1" ht="15.75" x14ac:dyDescent="0.25">
      <c r="C286" s="190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</row>
    <row r="287" spans="3:19" s="5" customFormat="1" ht="15.75" x14ac:dyDescent="0.25">
      <c r="C287" s="190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</row>
    <row r="288" spans="3:19" s="5" customFormat="1" ht="15.75" x14ac:dyDescent="0.25">
      <c r="C288" s="190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</row>
    <row r="289" spans="3:19" s="5" customFormat="1" ht="15.75" x14ac:dyDescent="0.25">
      <c r="C289" s="190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</row>
    <row r="290" spans="3:19" s="5" customFormat="1" ht="15.75" x14ac:dyDescent="0.25">
      <c r="C290" s="190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</row>
    <row r="291" spans="3:19" s="5" customFormat="1" ht="15.75" x14ac:dyDescent="0.25">
      <c r="C291" s="190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</row>
    <row r="292" spans="3:19" s="5" customFormat="1" ht="15.75" x14ac:dyDescent="0.25">
      <c r="C292" s="190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</row>
    <row r="293" spans="3:19" s="5" customFormat="1" ht="15.75" x14ac:dyDescent="0.25">
      <c r="C293" s="190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</row>
    <row r="294" spans="3:19" s="5" customFormat="1" ht="15.75" x14ac:dyDescent="0.25">
      <c r="C294" s="190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</row>
    <row r="295" spans="3:19" s="5" customFormat="1" ht="15.75" x14ac:dyDescent="0.25">
      <c r="C295" s="190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</row>
    <row r="296" spans="3:19" s="5" customFormat="1" ht="15.75" x14ac:dyDescent="0.25">
      <c r="C296" s="190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</row>
    <row r="297" spans="3:19" s="5" customFormat="1" ht="15.75" x14ac:dyDescent="0.25">
      <c r="C297" s="190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</row>
    <row r="298" spans="3:19" s="5" customFormat="1" ht="15.75" x14ac:dyDescent="0.25">
      <c r="C298" s="190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</row>
    <row r="299" spans="3:19" s="5" customFormat="1" ht="15.75" x14ac:dyDescent="0.25">
      <c r="C299" s="190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</row>
    <row r="300" spans="3:19" s="5" customFormat="1" ht="15.75" x14ac:dyDescent="0.25">
      <c r="C300" s="190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</row>
    <row r="301" spans="3:19" s="5" customFormat="1" ht="15.75" x14ac:dyDescent="0.25">
      <c r="C301" s="190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</row>
    <row r="302" spans="3:19" s="5" customFormat="1" ht="15.75" x14ac:dyDescent="0.25">
      <c r="C302" s="190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</row>
    <row r="303" spans="3:19" s="5" customFormat="1" ht="15.75" x14ac:dyDescent="0.25">
      <c r="C303" s="190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</row>
    <row r="304" spans="3:19" s="5" customFormat="1" ht="15.75" x14ac:dyDescent="0.25">
      <c r="C304" s="193"/>
    </row>
    <row r="305" spans="3:3" s="5" customFormat="1" ht="15.75" x14ac:dyDescent="0.25">
      <c r="C305" s="193"/>
    </row>
    <row r="306" spans="3:3" s="5" customFormat="1" ht="15.75" x14ac:dyDescent="0.25">
      <c r="C306" s="193"/>
    </row>
    <row r="307" spans="3:3" s="5" customFormat="1" ht="15.75" x14ac:dyDescent="0.25">
      <c r="C307" s="193"/>
    </row>
    <row r="308" spans="3:3" s="5" customFormat="1" ht="15.75" x14ac:dyDescent="0.25">
      <c r="C308" s="193"/>
    </row>
    <row r="309" spans="3:3" s="5" customFormat="1" ht="15.75" x14ac:dyDescent="0.25">
      <c r="C309" s="193"/>
    </row>
    <row r="310" spans="3:3" s="5" customFormat="1" ht="15.75" x14ac:dyDescent="0.25">
      <c r="C310" s="193"/>
    </row>
    <row r="311" spans="3:3" s="5" customFormat="1" ht="15.75" x14ac:dyDescent="0.25">
      <c r="C311" s="193"/>
    </row>
    <row r="312" spans="3:3" s="5" customFormat="1" ht="15.75" x14ac:dyDescent="0.25">
      <c r="C312" s="193"/>
    </row>
    <row r="313" spans="3:3" s="5" customFormat="1" ht="15.75" x14ac:dyDescent="0.25">
      <c r="C313" s="193"/>
    </row>
    <row r="314" spans="3:3" s="5" customFormat="1" ht="15.75" x14ac:dyDescent="0.25">
      <c r="C314" s="193"/>
    </row>
    <row r="315" spans="3:3" s="5" customFormat="1" ht="15.75" x14ac:dyDescent="0.25">
      <c r="C315" s="193"/>
    </row>
    <row r="316" spans="3:3" s="5" customFormat="1" ht="15.75" x14ac:dyDescent="0.25">
      <c r="C316" s="193"/>
    </row>
    <row r="317" spans="3:3" s="5" customFormat="1" ht="15.75" x14ac:dyDescent="0.25">
      <c r="C317" s="193"/>
    </row>
    <row r="318" spans="3:3" s="5" customFormat="1" ht="15.75" x14ac:dyDescent="0.25">
      <c r="C318" s="193"/>
    </row>
    <row r="319" spans="3:3" s="5" customFormat="1" ht="15.75" x14ac:dyDescent="0.25">
      <c r="C319" s="193"/>
    </row>
    <row r="320" spans="3:3" s="5" customFormat="1" ht="15.75" x14ac:dyDescent="0.25">
      <c r="C320" s="193"/>
    </row>
    <row r="321" spans="3:3" s="5" customFormat="1" ht="15.75" x14ac:dyDescent="0.25">
      <c r="C321" s="193"/>
    </row>
    <row r="322" spans="3:3" s="5" customFormat="1" ht="15.75" x14ac:dyDescent="0.25">
      <c r="C322" s="193"/>
    </row>
    <row r="323" spans="3:3" s="5" customFormat="1" ht="15.75" x14ac:dyDescent="0.25">
      <c r="C323" s="193"/>
    </row>
    <row r="324" spans="3:3" s="5" customFormat="1" ht="15.75" x14ac:dyDescent="0.25">
      <c r="C324" s="193"/>
    </row>
    <row r="325" spans="3:3" s="5" customFormat="1" ht="15.75" x14ac:dyDescent="0.25">
      <c r="C325" s="193"/>
    </row>
    <row r="326" spans="3:3" s="5" customFormat="1" ht="15.75" x14ac:dyDescent="0.25">
      <c r="C326" s="193"/>
    </row>
    <row r="327" spans="3:3" s="5" customFormat="1" ht="15.75" x14ac:dyDescent="0.25">
      <c r="C327" s="193"/>
    </row>
    <row r="328" spans="3:3" s="5" customFormat="1" ht="15.75" x14ac:dyDescent="0.25">
      <c r="C328" s="193"/>
    </row>
    <row r="329" spans="3:3" s="5" customFormat="1" ht="15.75" x14ac:dyDescent="0.25">
      <c r="C329" s="193"/>
    </row>
    <row r="330" spans="3:3" s="5" customFormat="1" ht="15.75" x14ac:dyDescent="0.25">
      <c r="C330" s="193"/>
    </row>
    <row r="331" spans="3:3" s="5" customFormat="1" ht="15.75" x14ac:dyDescent="0.25">
      <c r="C331" s="193"/>
    </row>
    <row r="332" spans="3:3" s="5" customFormat="1" ht="15.75" x14ac:dyDescent="0.25">
      <c r="C332" s="193"/>
    </row>
    <row r="333" spans="3:3" s="5" customFormat="1" ht="15.75" x14ac:dyDescent="0.25">
      <c r="C333" s="193"/>
    </row>
    <row r="334" spans="3:3" s="5" customFormat="1" ht="15.75" x14ac:dyDescent="0.25">
      <c r="C334" s="193"/>
    </row>
    <row r="335" spans="3:3" s="5" customFormat="1" ht="15.75" x14ac:dyDescent="0.25">
      <c r="C335" s="193"/>
    </row>
    <row r="336" spans="3:3" s="5" customFormat="1" ht="15.75" x14ac:dyDescent="0.25">
      <c r="C336" s="193"/>
    </row>
    <row r="337" spans="3:3" s="5" customFormat="1" ht="15.75" x14ac:dyDescent="0.25">
      <c r="C337" s="193"/>
    </row>
    <row r="338" spans="3:3" s="5" customFormat="1" ht="15.75" x14ac:dyDescent="0.25">
      <c r="C338" s="193"/>
    </row>
    <row r="339" spans="3:3" s="5" customFormat="1" ht="15.75" x14ac:dyDescent="0.25">
      <c r="C339" s="193"/>
    </row>
    <row r="340" spans="3:3" s="5" customFormat="1" ht="15.75" x14ac:dyDescent="0.25">
      <c r="C340" s="193"/>
    </row>
    <row r="341" spans="3:3" s="5" customFormat="1" ht="15.75" x14ac:dyDescent="0.25">
      <c r="C341" s="193"/>
    </row>
    <row r="342" spans="3:3" s="5" customFormat="1" ht="15.75" x14ac:dyDescent="0.25">
      <c r="C342" s="193"/>
    </row>
    <row r="343" spans="3:3" s="5" customFormat="1" ht="15.75" x14ac:dyDescent="0.25">
      <c r="C343" s="193"/>
    </row>
    <row r="344" spans="3:3" s="5" customFormat="1" ht="15.75" x14ac:dyDescent="0.25">
      <c r="C344" s="193"/>
    </row>
    <row r="345" spans="3:3" s="5" customFormat="1" ht="15.75" x14ac:dyDescent="0.25">
      <c r="C345" s="193"/>
    </row>
    <row r="346" spans="3:3" s="5" customFormat="1" ht="15.75" x14ac:dyDescent="0.25">
      <c r="C346" s="193"/>
    </row>
    <row r="347" spans="3:3" s="5" customFormat="1" ht="15.75" x14ac:dyDescent="0.25">
      <c r="C347" s="193"/>
    </row>
    <row r="348" spans="3:3" s="5" customFormat="1" ht="15.75" x14ac:dyDescent="0.25">
      <c r="C348" s="193"/>
    </row>
    <row r="349" spans="3:3" s="5" customFormat="1" ht="15.75" x14ac:dyDescent="0.25">
      <c r="C349" s="193"/>
    </row>
    <row r="350" spans="3:3" s="5" customFormat="1" ht="15.75" x14ac:dyDescent="0.25">
      <c r="C350" s="193"/>
    </row>
    <row r="351" spans="3:3" s="5" customFormat="1" ht="15.75" x14ac:dyDescent="0.25">
      <c r="C351" s="193"/>
    </row>
    <row r="352" spans="3:3" s="5" customFormat="1" ht="15.75" x14ac:dyDescent="0.25">
      <c r="C352" s="193"/>
    </row>
    <row r="353" spans="3:3" s="5" customFormat="1" ht="15.75" x14ac:dyDescent="0.25">
      <c r="C353" s="193"/>
    </row>
    <row r="354" spans="3:3" s="5" customFormat="1" ht="15.75" x14ac:dyDescent="0.25">
      <c r="C354" s="193"/>
    </row>
    <row r="355" spans="3:3" s="5" customFormat="1" ht="15.75" x14ac:dyDescent="0.25">
      <c r="C355" s="193"/>
    </row>
    <row r="356" spans="3:3" s="5" customFormat="1" ht="15.75" x14ac:dyDescent="0.25">
      <c r="C356" s="193"/>
    </row>
    <row r="357" spans="3:3" s="5" customFormat="1" ht="15.75" x14ac:dyDescent="0.25">
      <c r="C357" s="193"/>
    </row>
    <row r="358" spans="3:3" s="5" customFormat="1" ht="15.75" x14ac:dyDescent="0.25">
      <c r="C358" s="193"/>
    </row>
    <row r="359" spans="3:3" s="5" customFormat="1" ht="15.75" x14ac:dyDescent="0.25">
      <c r="C359" s="193"/>
    </row>
    <row r="360" spans="3:3" s="5" customFormat="1" ht="15.75" x14ac:dyDescent="0.25">
      <c r="C360" s="193"/>
    </row>
    <row r="361" spans="3:3" s="5" customFormat="1" ht="15.75" x14ac:dyDescent="0.25">
      <c r="C361" s="193"/>
    </row>
    <row r="362" spans="3:3" s="5" customFormat="1" ht="15.75" x14ac:dyDescent="0.25">
      <c r="C362" s="193"/>
    </row>
    <row r="363" spans="3:3" s="5" customFormat="1" ht="15.75" x14ac:dyDescent="0.25">
      <c r="C363" s="193"/>
    </row>
    <row r="364" spans="3:3" s="5" customFormat="1" ht="15.75" x14ac:dyDescent="0.25">
      <c r="C364" s="193"/>
    </row>
    <row r="365" spans="3:3" s="5" customFormat="1" ht="15.75" x14ac:dyDescent="0.25">
      <c r="C365" s="193"/>
    </row>
    <row r="366" spans="3:3" s="5" customFormat="1" ht="15.75" x14ac:dyDescent="0.25">
      <c r="C366" s="193"/>
    </row>
    <row r="367" spans="3:3" s="5" customFormat="1" ht="15.75" x14ac:dyDescent="0.25">
      <c r="C367" s="193"/>
    </row>
    <row r="368" spans="3:3" s="5" customFormat="1" ht="15.75" x14ac:dyDescent="0.25">
      <c r="C368" s="193"/>
    </row>
    <row r="369" spans="3:3" s="5" customFormat="1" ht="15.75" x14ac:dyDescent="0.25">
      <c r="C369" s="193"/>
    </row>
    <row r="370" spans="3:3" s="5" customFormat="1" ht="15.75" x14ac:dyDescent="0.25">
      <c r="C370" s="193"/>
    </row>
    <row r="371" spans="3:3" s="5" customFormat="1" ht="15.75" x14ac:dyDescent="0.25">
      <c r="C371" s="193"/>
    </row>
    <row r="372" spans="3:3" s="5" customFormat="1" ht="15.75" x14ac:dyDescent="0.25">
      <c r="C372" s="193"/>
    </row>
    <row r="373" spans="3:3" s="5" customFormat="1" ht="15.75" x14ac:dyDescent="0.25">
      <c r="C373" s="193"/>
    </row>
    <row r="374" spans="3:3" s="5" customFormat="1" ht="15.75" x14ac:dyDescent="0.25">
      <c r="C374" s="193"/>
    </row>
    <row r="375" spans="3:3" s="5" customFormat="1" ht="15.75" x14ac:dyDescent="0.25">
      <c r="C375" s="193"/>
    </row>
    <row r="376" spans="3:3" s="5" customFormat="1" ht="15.75" x14ac:dyDescent="0.25">
      <c r="C376" s="193"/>
    </row>
    <row r="377" spans="3:3" s="5" customFormat="1" ht="15.75" x14ac:dyDescent="0.25">
      <c r="C377" s="193"/>
    </row>
    <row r="378" spans="3:3" s="5" customFormat="1" ht="15.75" x14ac:dyDescent="0.25">
      <c r="C378" s="193"/>
    </row>
    <row r="379" spans="3:3" s="5" customFormat="1" ht="15.75" x14ac:dyDescent="0.25">
      <c r="C379" s="193"/>
    </row>
    <row r="380" spans="3:3" s="5" customFormat="1" ht="15.75" x14ac:dyDescent="0.25">
      <c r="C380" s="193"/>
    </row>
    <row r="381" spans="3:3" s="5" customFormat="1" ht="15.75" x14ac:dyDescent="0.25">
      <c r="C381" s="193"/>
    </row>
    <row r="382" spans="3:3" s="5" customFormat="1" ht="15.75" x14ac:dyDescent="0.25">
      <c r="C382" s="193"/>
    </row>
    <row r="383" spans="3:3" s="5" customFormat="1" ht="15.75" x14ac:dyDescent="0.25">
      <c r="C383" s="193"/>
    </row>
    <row r="384" spans="3:3" s="5" customFormat="1" ht="15.75" x14ac:dyDescent="0.25">
      <c r="C384" s="193"/>
    </row>
    <row r="385" spans="3:3" s="5" customFormat="1" ht="15.75" x14ac:dyDescent="0.25">
      <c r="C385" s="193"/>
    </row>
    <row r="386" spans="3:3" s="5" customFormat="1" ht="15.75" x14ac:dyDescent="0.25">
      <c r="C386" s="193"/>
    </row>
    <row r="387" spans="3:3" s="5" customFormat="1" ht="15.75" x14ac:dyDescent="0.25">
      <c r="C387" s="193"/>
    </row>
    <row r="388" spans="3:3" s="5" customFormat="1" ht="15.75" x14ac:dyDescent="0.25">
      <c r="C388" s="193"/>
    </row>
    <row r="389" spans="3:3" s="5" customFormat="1" ht="15.75" x14ac:dyDescent="0.25">
      <c r="C389" s="193"/>
    </row>
    <row r="390" spans="3:3" s="5" customFormat="1" ht="15.75" x14ac:dyDescent="0.25">
      <c r="C390" s="193"/>
    </row>
    <row r="391" spans="3:3" s="5" customFormat="1" ht="15.75" x14ac:dyDescent="0.25">
      <c r="C391" s="193"/>
    </row>
    <row r="392" spans="3:3" s="5" customFormat="1" ht="15.75" x14ac:dyDescent="0.25">
      <c r="C392" s="193"/>
    </row>
    <row r="393" spans="3:3" s="5" customFormat="1" ht="15.75" x14ac:dyDescent="0.25">
      <c r="C393" s="193"/>
    </row>
    <row r="394" spans="3:3" s="5" customFormat="1" ht="15.75" x14ac:dyDescent="0.25">
      <c r="C394" s="193"/>
    </row>
    <row r="395" spans="3:3" s="5" customFormat="1" ht="15.75" x14ac:dyDescent="0.25">
      <c r="C395" s="193"/>
    </row>
    <row r="396" spans="3:3" s="5" customFormat="1" ht="15.75" x14ac:dyDescent="0.25">
      <c r="C396" s="193"/>
    </row>
    <row r="397" spans="3:3" s="5" customFormat="1" ht="15.75" x14ac:dyDescent="0.25">
      <c r="C397" s="193"/>
    </row>
    <row r="398" spans="3:3" s="5" customFormat="1" ht="15.75" x14ac:dyDescent="0.25">
      <c r="C398" s="193"/>
    </row>
    <row r="399" spans="3:3" s="5" customFormat="1" ht="15.75" x14ac:dyDescent="0.25">
      <c r="C399" s="193"/>
    </row>
    <row r="400" spans="3:3" s="5" customFormat="1" ht="15.75" x14ac:dyDescent="0.25">
      <c r="C400" s="193"/>
    </row>
    <row r="401" spans="3:3" s="5" customFormat="1" ht="15.75" x14ac:dyDescent="0.25">
      <c r="C401" s="193"/>
    </row>
    <row r="402" spans="3:3" s="5" customFormat="1" ht="15.75" x14ac:dyDescent="0.25">
      <c r="C402" s="193"/>
    </row>
    <row r="403" spans="3:3" s="5" customFormat="1" ht="15.75" x14ac:dyDescent="0.25">
      <c r="C403" s="193"/>
    </row>
    <row r="404" spans="3:3" s="5" customFormat="1" ht="15.75" x14ac:dyDescent="0.25">
      <c r="C404" s="193"/>
    </row>
    <row r="405" spans="3:3" s="5" customFormat="1" ht="15.75" x14ac:dyDescent="0.25">
      <c r="C405" s="193"/>
    </row>
    <row r="406" spans="3:3" s="5" customFormat="1" ht="15.75" x14ac:dyDescent="0.25">
      <c r="C406" s="193"/>
    </row>
    <row r="407" spans="3:3" s="5" customFormat="1" ht="15.75" x14ac:dyDescent="0.25">
      <c r="C407" s="193"/>
    </row>
    <row r="408" spans="3:3" s="5" customFormat="1" ht="15.75" x14ac:dyDescent="0.25">
      <c r="C408" s="193"/>
    </row>
    <row r="409" spans="3:3" s="5" customFormat="1" ht="15.75" x14ac:dyDescent="0.25">
      <c r="C409" s="193"/>
    </row>
    <row r="410" spans="3:3" s="5" customFormat="1" ht="15.75" x14ac:dyDescent="0.25">
      <c r="C410" s="193"/>
    </row>
    <row r="411" spans="3:3" s="5" customFormat="1" ht="15.75" x14ac:dyDescent="0.25">
      <c r="C411" s="193"/>
    </row>
    <row r="412" spans="3:3" s="5" customFormat="1" ht="15.75" x14ac:dyDescent="0.25">
      <c r="C412" s="193"/>
    </row>
    <row r="413" spans="3:3" s="5" customFormat="1" ht="15.75" x14ac:dyDescent="0.25">
      <c r="C413" s="193"/>
    </row>
    <row r="414" spans="3:3" s="5" customFormat="1" ht="15.75" x14ac:dyDescent="0.25">
      <c r="C414" s="193"/>
    </row>
    <row r="415" spans="3:3" s="5" customFormat="1" ht="15.75" x14ac:dyDescent="0.25">
      <c r="C415" s="193"/>
    </row>
    <row r="416" spans="3:3" s="5" customFormat="1" ht="15.75" x14ac:dyDescent="0.25">
      <c r="C416" s="193"/>
    </row>
    <row r="417" spans="3:3" s="5" customFormat="1" ht="15.75" x14ac:dyDescent="0.25">
      <c r="C417" s="193"/>
    </row>
    <row r="418" spans="3:3" s="5" customFormat="1" ht="15.75" x14ac:dyDescent="0.25">
      <c r="C418" s="193"/>
    </row>
    <row r="419" spans="3:3" s="5" customFormat="1" ht="15.75" x14ac:dyDescent="0.25">
      <c r="C419" s="193"/>
    </row>
    <row r="420" spans="3:3" s="5" customFormat="1" ht="15.75" x14ac:dyDescent="0.25">
      <c r="C420" s="193"/>
    </row>
    <row r="421" spans="3:3" s="5" customFormat="1" ht="15.75" x14ac:dyDescent="0.25">
      <c r="C421" s="193"/>
    </row>
    <row r="422" spans="3:3" s="5" customFormat="1" ht="15.75" x14ac:dyDescent="0.25">
      <c r="C422" s="193"/>
    </row>
    <row r="423" spans="3:3" s="5" customFormat="1" ht="15.75" x14ac:dyDescent="0.25">
      <c r="C423" s="193"/>
    </row>
    <row r="424" spans="3:3" s="5" customFormat="1" ht="15.75" x14ac:dyDescent="0.25">
      <c r="C424" s="193"/>
    </row>
    <row r="425" spans="3:3" s="5" customFormat="1" ht="15.75" x14ac:dyDescent="0.25">
      <c r="C425" s="193"/>
    </row>
    <row r="426" spans="3:3" s="5" customFormat="1" ht="15.75" x14ac:dyDescent="0.25">
      <c r="C426" s="193"/>
    </row>
    <row r="427" spans="3:3" s="5" customFormat="1" ht="15.75" x14ac:dyDescent="0.25">
      <c r="C427" s="193"/>
    </row>
    <row r="428" spans="3:3" s="5" customFormat="1" ht="15.75" x14ac:dyDescent="0.25">
      <c r="C428" s="193"/>
    </row>
    <row r="429" spans="3:3" s="5" customFormat="1" ht="15.75" x14ac:dyDescent="0.25">
      <c r="C429" s="193"/>
    </row>
    <row r="430" spans="3:3" s="5" customFormat="1" ht="15.75" x14ac:dyDescent="0.25">
      <c r="C430" s="193"/>
    </row>
    <row r="431" spans="3:3" s="5" customFormat="1" ht="15.75" x14ac:dyDescent="0.25">
      <c r="C431" s="193"/>
    </row>
    <row r="432" spans="3:3" s="5" customFormat="1" ht="15.75" x14ac:dyDescent="0.25">
      <c r="C432" s="193"/>
    </row>
    <row r="433" spans="3:3" s="5" customFormat="1" ht="15.75" x14ac:dyDescent="0.25">
      <c r="C433" s="193"/>
    </row>
    <row r="434" spans="3:3" s="5" customFormat="1" ht="15.75" x14ac:dyDescent="0.25">
      <c r="C434" s="193"/>
    </row>
    <row r="435" spans="3:3" s="5" customFormat="1" ht="15.75" x14ac:dyDescent="0.25">
      <c r="C435" s="193"/>
    </row>
    <row r="436" spans="3:3" s="5" customFormat="1" ht="15.75" x14ac:dyDescent="0.25">
      <c r="C436" s="193"/>
    </row>
    <row r="437" spans="3:3" s="5" customFormat="1" ht="15.75" x14ac:dyDescent="0.25">
      <c r="C437" s="193"/>
    </row>
    <row r="438" spans="3:3" s="5" customFormat="1" ht="15.75" x14ac:dyDescent="0.25">
      <c r="C438" s="193"/>
    </row>
    <row r="439" spans="3:3" s="5" customFormat="1" ht="15.75" x14ac:dyDescent="0.25">
      <c r="C439" s="193"/>
    </row>
    <row r="440" spans="3:3" s="5" customFormat="1" ht="15.75" x14ac:dyDescent="0.25">
      <c r="C440" s="193"/>
    </row>
    <row r="441" spans="3:3" s="5" customFormat="1" ht="15.75" x14ac:dyDescent="0.25">
      <c r="C441" s="193"/>
    </row>
    <row r="442" spans="3:3" s="5" customFormat="1" ht="15.75" x14ac:dyDescent="0.25">
      <c r="C442" s="193"/>
    </row>
    <row r="443" spans="3:3" s="5" customFormat="1" ht="15.75" x14ac:dyDescent="0.25">
      <c r="C443" s="193"/>
    </row>
    <row r="444" spans="3:3" s="5" customFormat="1" ht="15.75" x14ac:dyDescent="0.25">
      <c r="C444" s="193"/>
    </row>
    <row r="445" spans="3:3" s="5" customFormat="1" ht="15.75" x14ac:dyDescent="0.25">
      <c r="C445" s="193"/>
    </row>
    <row r="446" spans="3:3" s="5" customFormat="1" ht="15.75" x14ac:dyDescent="0.25">
      <c r="C446" s="193"/>
    </row>
    <row r="447" spans="3:3" s="5" customFormat="1" ht="15.75" x14ac:dyDescent="0.25">
      <c r="C447" s="193"/>
    </row>
    <row r="448" spans="3:3" s="5" customFormat="1" ht="15.75" x14ac:dyDescent="0.25">
      <c r="C448" s="193"/>
    </row>
    <row r="449" spans="3:3" s="5" customFormat="1" ht="15.75" x14ac:dyDescent="0.25">
      <c r="C449" s="193"/>
    </row>
    <row r="450" spans="3:3" s="5" customFormat="1" ht="15.75" x14ac:dyDescent="0.25">
      <c r="C450" s="193"/>
    </row>
    <row r="451" spans="3:3" s="5" customFormat="1" ht="15.75" x14ac:dyDescent="0.25">
      <c r="C451" s="193"/>
    </row>
    <row r="452" spans="3:3" s="5" customFormat="1" ht="15.75" x14ac:dyDescent="0.25">
      <c r="C452" s="193"/>
    </row>
    <row r="453" spans="3:3" s="5" customFormat="1" ht="15.75" x14ac:dyDescent="0.25">
      <c r="C453" s="193"/>
    </row>
    <row r="454" spans="3:3" s="5" customFormat="1" ht="15.75" x14ac:dyDescent="0.25">
      <c r="C454" s="193"/>
    </row>
    <row r="455" spans="3:3" s="5" customFormat="1" ht="15.75" x14ac:dyDescent="0.25">
      <c r="C455" s="193"/>
    </row>
    <row r="456" spans="3:3" s="5" customFormat="1" ht="15.75" x14ac:dyDescent="0.25">
      <c r="C456" s="193"/>
    </row>
    <row r="457" spans="3:3" s="5" customFormat="1" ht="15.75" x14ac:dyDescent="0.25">
      <c r="C457" s="193"/>
    </row>
    <row r="458" spans="3:3" s="5" customFormat="1" ht="15.75" x14ac:dyDescent="0.25">
      <c r="C458" s="193"/>
    </row>
    <row r="459" spans="3:3" s="5" customFormat="1" ht="15.75" x14ac:dyDescent="0.25">
      <c r="C459" s="193"/>
    </row>
    <row r="460" spans="3:3" s="5" customFormat="1" ht="15.75" x14ac:dyDescent="0.25">
      <c r="C460" s="193"/>
    </row>
    <row r="461" spans="3:3" s="5" customFormat="1" ht="15.75" x14ac:dyDescent="0.25">
      <c r="C461" s="193"/>
    </row>
    <row r="462" spans="3:3" s="5" customFormat="1" ht="15.75" x14ac:dyDescent="0.25">
      <c r="C462" s="193"/>
    </row>
    <row r="463" spans="3:3" s="5" customFormat="1" ht="15.75" x14ac:dyDescent="0.25">
      <c r="C463" s="193"/>
    </row>
    <row r="464" spans="3:3" s="5" customFormat="1" ht="15.75" x14ac:dyDescent="0.25">
      <c r="C464" s="193"/>
    </row>
    <row r="465" spans="3:3" s="5" customFormat="1" ht="15.75" x14ac:dyDescent="0.25">
      <c r="C465" s="193"/>
    </row>
    <row r="466" spans="3:3" s="5" customFormat="1" ht="15.75" x14ac:dyDescent="0.25">
      <c r="C466" s="193"/>
    </row>
    <row r="467" spans="3:3" s="5" customFormat="1" ht="15.75" x14ac:dyDescent="0.25">
      <c r="C467" s="193"/>
    </row>
    <row r="468" spans="3:3" s="5" customFormat="1" ht="15.75" x14ac:dyDescent="0.25">
      <c r="C468" s="193"/>
    </row>
    <row r="469" spans="3:3" s="5" customFormat="1" ht="15.75" x14ac:dyDescent="0.25">
      <c r="C469" s="193"/>
    </row>
    <row r="470" spans="3:3" s="5" customFormat="1" ht="15.75" x14ac:dyDescent="0.25">
      <c r="C470" s="193"/>
    </row>
    <row r="471" spans="3:3" s="5" customFormat="1" ht="15.75" x14ac:dyDescent="0.25">
      <c r="C471" s="193"/>
    </row>
    <row r="472" spans="3:3" s="5" customFormat="1" ht="15.75" x14ac:dyDescent="0.25">
      <c r="C472" s="193"/>
    </row>
    <row r="473" spans="3:3" s="5" customFormat="1" ht="15.75" x14ac:dyDescent="0.25">
      <c r="C473" s="193"/>
    </row>
    <row r="474" spans="3:3" s="5" customFormat="1" ht="15.75" x14ac:dyDescent="0.25">
      <c r="C474" s="193"/>
    </row>
    <row r="475" spans="3:3" s="5" customFormat="1" ht="15.75" x14ac:dyDescent="0.25">
      <c r="C475" s="193"/>
    </row>
    <row r="476" spans="3:3" s="5" customFormat="1" ht="15.75" x14ac:dyDescent="0.25">
      <c r="C476" s="193"/>
    </row>
    <row r="477" spans="3:3" s="5" customFormat="1" ht="15.75" x14ac:dyDescent="0.25">
      <c r="C477" s="193"/>
    </row>
    <row r="478" spans="3:3" s="5" customFormat="1" ht="15.75" x14ac:dyDescent="0.25">
      <c r="C478" s="193"/>
    </row>
    <row r="479" spans="3:3" s="5" customFormat="1" ht="15.75" x14ac:dyDescent="0.25">
      <c r="C479" s="193"/>
    </row>
    <row r="480" spans="3:3" s="5" customFormat="1" ht="15.75" x14ac:dyDescent="0.25">
      <c r="C480" s="193"/>
    </row>
    <row r="481" spans="3:3" s="5" customFormat="1" ht="15.75" x14ac:dyDescent="0.25">
      <c r="C481" s="193"/>
    </row>
    <row r="482" spans="3:3" s="5" customFormat="1" ht="15.75" x14ac:dyDescent="0.25">
      <c r="C482" s="193"/>
    </row>
    <row r="483" spans="3:3" s="5" customFormat="1" ht="15.75" x14ac:dyDescent="0.25">
      <c r="C483" s="193"/>
    </row>
    <row r="484" spans="3:3" s="5" customFormat="1" ht="15.75" x14ac:dyDescent="0.25">
      <c r="C484" s="193"/>
    </row>
    <row r="485" spans="3:3" s="5" customFormat="1" ht="15.75" x14ac:dyDescent="0.25">
      <c r="C485" s="193"/>
    </row>
    <row r="486" spans="3:3" s="5" customFormat="1" ht="15.75" x14ac:dyDescent="0.25">
      <c r="C486" s="193"/>
    </row>
    <row r="487" spans="3:3" s="5" customFormat="1" ht="15.75" x14ac:dyDescent="0.25">
      <c r="C487" s="193"/>
    </row>
    <row r="488" spans="3:3" s="5" customFormat="1" ht="15.75" x14ac:dyDescent="0.25">
      <c r="C488" s="193"/>
    </row>
    <row r="489" spans="3:3" s="5" customFormat="1" ht="15.75" x14ac:dyDescent="0.25">
      <c r="C489" s="193"/>
    </row>
    <row r="490" spans="3:3" s="5" customFormat="1" ht="15.75" x14ac:dyDescent="0.25">
      <c r="C490" s="193"/>
    </row>
    <row r="491" spans="3:3" s="5" customFormat="1" ht="15.75" x14ac:dyDescent="0.25">
      <c r="C491" s="193"/>
    </row>
    <row r="492" spans="3:3" s="5" customFormat="1" ht="15.75" x14ac:dyDescent="0.25">
      <c r="C492" s="193"/>
    </row>
    <row r="493" spans="3:3" s="5" customFormat="1" ht="15.75" x14ac:dyDescent="0.25">
      <c r="C493" s="193"/>
    </row>
    <row r="494" spans="3:3" s="5" customFormat="1" ht="15.75" x14ac:dyDescent="0.25">
      <c r="C494" s="193"/>
    </row>
    <row r="495" spans="3:3" s="5" customFormat="1" ht="15.75" x14ac:dyDescent="0.25">
      <c r="C495" s="193"/>
    </row>
    <row r="496" spans="3:3" s="5" customFormat="1" ht="15.75" x14ac:dyDescent="0.25">
      <c r="C496" s="193"/>
    </row>
    <row r="497" spans="3:3" s="5" customFormat="1" ht="15.75" x14ac:dyDescent="0.25">
      <c r="C497" s="193"/>
    </row>
    <row r="498" spans="3:3" s="5" customFormat="1" ht="15.75" x14ac:dyDescent="0.25">
      <c r="C498" s="193"/>
    </row>
    <row r="499" spans="3:3" s="5" customFormat="1" ht="15.75" x14ac:dyDescent="0.25">
      <c r="C499" s="193"/>
    </row>
    <row r="500" spans="3:3" s="5" customFormat="1" ht="15.75" x14ac:dyDescent="0.25">
      <c r="C500" s="193"/>
    </row>
    <row r="501" spans="3:3" s="5" customFormat="1" ht="15.75" x14ac:dyDescent="0.25">
      <c r="C501" s="193"/>
    </row>
    <row r="502" spans="3:3" s="5" customFormat="1" ht="15.75" x14ac:dyDescent="0.25">
      <c r="C502" s="193"/>
    </row>
    <row r="503" spans="3:3" s="5" customFormat="1" ht="15.75" x14ac:dyDescent="0.25">
      <c r="C503" s="193"/>
    </row>
    <row r="504" spans="3:3" s="5" customFormat="1" ht="15.75" x14ac:dyDescent="0.25">
      <c r="C504" s="193"/>
    </row>
    <row r="505" spans="3:3" s="5" customFormat="1" ht="15.75" x14ac:dyDescent="0.25">
      <c r="C505" s="193"/>
    </row>
    <row r="506" spans="3:3" s="5" customFormat="1" ht="15.75" x14ac:dyDescent="0.25">
      <c r="C506" s="193"/>
    </row>
    <row r="507" spans="3:3" s="5" customFormat="1" ht="15.75" x14ac:dyDescent="0.25">
      <c r="C507" s="193"/>
    </row>
    <row r="508" spans="3:3" s="5" customFormat="1" ht="15.75" x14ac:dyDescent="0.25">
      <c r="C508" s="193"/>
    </row>
    <row r="509" spans="3:3" s="5" customFormat="1" ht="15.75" x14ac:dyDescent="0.25">
      <c r="C509" s="193"/>
    </row>
    <row r="510" spans="3:3" s="5" customFormat="1" ht="15.75" x14ac:dyDescent="0.25">
      <c r="C510" s="193"/>
    </row>
    <row r="511" spans="3:3" s="5" customFormat="1" ht="15.75" x14ac:dyDescent="0.25">
      <c r="C511" s="193"/>
    </row>
    <row r="512" spans="3:3" s="5" customFormat="1" ht="15.75" x14ac:dyDescent="0.25">
      <c r="C512" s="193"/>
    </row>
    <row r="513" spans="3:3" s="5" customFormat="1" ht="15.75" x14ac:dyDescent="0.25">
      <c r="C513" s="193"/>
    </row>
    <row r="514" spans="3:3" s="5" customFormat="1" ht="15.75" x14ac:dyDescent="0.25">
      <c r="C514" s="193"/>
    </row>
    <row r="515" spans="3:3" s="5" customFormat="1" ht="15.75" x14ac:dyDescent="0.25">
      <c r="C515" s="193"/>
    </row>
    <row r="516" spans="3:3" s="5" customFormat="1" ht="15.75" x14ac:dyDescent="0.25">
      <c r="C516" s="193"/>
    </row>
    <row r="517" spans="3:3" s="5" customFormat="1" ht="15.75" x14ac:dyDescent="0.25">
      <c r="C517" s="193"/>
    </row>
    <row r="518" spans="3:3" s="5" customFormat="1" ht="15.75" x14ac:dyDescent="0.25">
      <c r="C518" s="193"/>
    </row>
    <row r="519" spans="3:3" s="5" customFormat="1" ht="15.75" x14ac:dyDescent="0.25">
      <c r="C519" s="193"/>
    </row>
    <row r="520" spans="3:3" s="5" customFormat="1" ht="15.75" x14ac:dyDescent="0.25">
      <c r="C520" s="193"/>
    </row>
    <row r="521" spans="3:3" s="5" customFormat="1" ht="15.75" x14ac:dyDescent="0.25">
      <c r="C521" s="193"/>
    </row>
    <row r="522" spans="3:3" s="5" customFormat="1" ht="15.75" x14ac:dyDescent="0.25">
      <c r="C522" s="193"/>
    </row>
    <row r="523" spans="3:3" s="5" customFormat="1" ht="15.75" x14ac:dyDescent="0.25">
      <c r="C523" s="193"/>
    </row>
    <row r="524" spans="3:3" s="5" customFormat="1" ht="15.75" x14ac:dyDescent="0.25">
      <c r="C524" s="193"/>
    </row>
    <row r="525" spans="3:3" s="5" customFormat="1" ht="15.75" x14ac:dyDescent="0.25">
      <c r="C525" s="193"/>
    </row>
    <row r="526" spans="3:3" s="5" customFormat="1" ht="15.75" x14ac:dyDescent="0.25">
      <c r="C526" s="193"/>
    </row>
    <row r="527" spans="3:3" s="5" customFormat="1" ht="15.75" x14ac:dyDescent="0.25">
      <c r="C527" s="193"/>
    </row>
    <row r="528" spans="3:3" s="5" customFormat="1" ht="15.75" x14ac:dyDescent="0.25">
      <c r="C528" s="193"/>
    </row>
    <row r="529" spans="3:3" s="5" customFormat="1" ht="15.75" x14ac:dyDescent="0.25">
      <c r="C529" s="193"/>
    </row>
    <row r="530" spans="3:3" s="5" customFormat="1" ht="15.75" x14ac:dyDescent="0.25">
      <c r="C530" s="193"/>
    </row>
    <row r="531" spans="3:3" s="5" customFormat="1" ht="15.75" x14ac:dyDescent="0.25">
      <c r="C531" s="193"/>
    </row>
    <row r="532" spans="3:3" s="5" customFormat="1" ht="15.75" x14ac:dyDescent="0.25">
      <c r="C532" s="193"/>
    </row>
    <row r="533" spans="3:3" s="5" customFormat="1" ht="15.75" x14ac:dyDescent="0.25">
      <c r="C533" s="193"/>
    </row>
    <row r="534" spans="3:3" s="5" customFormat="1" ht="15.75" x14ac:dyDescent="0.25">
      <c r="C534" s="193"/>
    </row>
    <row r="535" spans="3:3" s="5" customFormat="1" ht="15.75" x14ac:dyDescent="0.25">
      <c r="C535" s="193"/>
    </row>
    <row r="536" spans="3:3" s="5" customFormat="1" ht="15.75" x14ac:dyDescent="0.25">
      <c r="C536" s="193"/>
    </row>
    <row r="537" spans="3:3" s="5" customFormat="1" ht="15.75" x14ac:dyDescent="0.25">
      <c r="C537" s="193"/>
    </row>
    <row r="538" spans="3:3" s="5" customFormat="1" ht="15.75" x14ac:dyDescent="0.25">
      <c r="C538" s="193"/>
    </row>
    <row r="539" spans="3:3" s="5" customFormat="1" ht="15.75" x14ac:dyDescent="0.25">
      <c r="C539" s="193"/>
    </row>
    <row r="540" spans="3:3" s="5" customFormat="1" ht="15.75" x14ac:dyDescent="0.25">
      <c r="C540" s="193"/>
    </row>
    <row r="541" spans="3:3" s="5" customFormat="1" ht="15.75" x14ac:dyDescent="0.25">
      <c r="C541" s="193"/>
    </row>
    <row r="542" spans="3:3" s="5" customFormat="1" ht="15.75" x14ac:dyDescent="0.25">
      <c r="C542" s="193"/>
    </row>
    <row r="543" spans="3:3" s="5" customFormat="1" ht="15.75" x14ac:dyDescent="0.25">
      <c r="C543" s="193"/>
    </row>
    <row r="544" spans="3:3" s="5" customFormat="1" ht="15.75" x14ac:dyDescent="0.25">
      <c r="C544" s="193"/>
    </row>
    <row r="545" spans="3:3" s="5" customFormat="1" ht="15.75" x14ac:dyDescent="0.25">
      <c r="C545" s="193"/>
    </row>
    <row r="546" spans="3:3" s="5" customFormat="1" ht="15.75" x14ac:dyDescent="0.25">
      <c r="C546" s="193"/>
    </row>
    <row r="547" spans="3:3" s="5" customFormat="1" ht="15.75" x14ac:dyDescent="0.25">
      <c r="C547" s="193"/>
    </row>
    <row r="548" spans="3:3" s="5" customFormat="1" ht="15.75" x14ac:dyDescent="0.25">
      <c r="C548" s="193"/>
    </row>
    <row r="549" spans="3:3" s="5" customFormat="1" ht="15.75" x14ac:dyDescent="0.25">
      <c r="C549" s="193"/>
    </row>
    <row r="550" spans="3:3" s="5" customFormat="1" ht="15.75" x14ac:dyDescent="0.25">
      <c r="C550" s="193"/>
    </row>
    <row r="551" spans="3:3" s="5" customFormat="1" ht="15.75" x14ac:dyDescent="0.25">
      <c r="C551" s="193"/>
    </row>
    <row r="552" spans="3:3" s="5" customFormat="1" ht="15.75" x14ac:dyDescent="0.25">
      <c r="C552" s="193"/>
    </row>
    <row r="553" spans="3:3" s="5" customFormat="1" ht="15.75" x14ac:dyDescent="0.25">
      <c r="C553" s="193"/>
    </row>
    <row r="554" spans="3:3" s="5" customFormat="1" ht="15.75" x14ac:dyDescent="0.25">
      <c r="C554" s="193"/>
    </row>
    <row r="555" spans="3:3" s="5" customFormat="1" ht="15.75" x14ac:dyDescent="0.25">
      <c r="C555" s="193"/>
    </row>
    <row r="556" spans="3:3" s="5" customFormat="1" ht="15.75" x14ac:dyDescent="0.25">
      <c r="C556" s="193"/>
    </row>
    <row r="557" spans="3:3" s="5" customFormat="1" ht="15.75" x14ac:dyDescent="0.25">
      <c r="C557" s="193"/>
    </row>
    <row r="558" spans="3:3" s="5" customFormat="1" ht="15.75" x14ac:dyDescent="0.25">
      <c r="C558" s="193"/>
    </row>
    <row r="559" spans="3:3" s="5" customFormat="1" ht="15.75" x14ac:dyDescent="0.25">
      <c r="C559" s="193"/>
    </row>
    <row r="560" spans="3:3" s="5" customFormat="1" ht="15.75" x14ac:dyDescent="0.25">
      <c r="C560" s="193"/>
    </row>
    <row r="561" spans="3:3" s="5" customFormat="1" ht="15.75" x14ac:dyDescent="0.25">
      <c r="C561" s="193"/>
    </row>
    <row r="562" spans="3:3" s="5" customFormat="1" ht="15.75" x14ac:dyDescent="0.25">
      <c r="C562" s="193"/>
    </row>
    <row r="563" spans="3:3" s="5" customFormat="1" ht="15.75" x14ac:dyDescent="0.25">
      <c r="C563" s="193"/>
    </row>
    <row r="564" spans="3:3" s="5" customFormat="1" ht="15.75" x14ac:dyDescent="0.25">
      <c r="C564" s="193"/>
    </row>
    <row r="565" spans="3:3" s="5" customFormat="1" ht="15.75" x14ac:dyDescent="0.25">
      <c r="C565" s="193"/>
    </row>
    <row r="566" spans="3:3" s="5" customFormat="1" ht="15.75" x14ac:dyDescent="0.25">
      <c r="C566" s="193"/>
    </row>
    <row r="567" spans="3:3" s="5" customFormat="1" ht="15.75" x14ac:dyDescent="0.25">
      <c r="C567" s="193"/>
    </row>
    <row r="568" spans="3:3" s="5" customFormat="1" ht="15.75" x14ac:dyDescent="0.25">
      <c r="C568" s="193"/>
    </row>
    <row r="569" spans="3:3" s="5" customFormat="1" ht="15.75" x14ac:dyDescent="0.25">
      <c r="C569" s="193"/>
    </row>
    <row r="570" spans="3:3" s="5" customFormat="1" ht="15.75" x14ac:dyDescent="0.25">
      <c r="C570" s="193"/>
    </row>
    <row r="571" spans="3:3" s="5" customFormat="1" ht="15.75" x14ac:dyDescent="0.25">
      <c r="C571" s="193"/>
    </row>
    <row r="572" spans="3:3" s="5" customFormat="1" ht="15.75" x14ac:dyDescent="0.25">
      <c r="C572" s="193"/>
    </row>
    <row r="573" spans="3:3" s="5" customFormat="1" ht="15.75" x14ac:dyDescent="0.25">
      <c r="C573" s="193"/>
    </row>
    <row r="574" spans="3:3" s="5" customFormat="1" ht="15.75" x14ac:dyDescent="0.25">
      <c r="C574" s="193"/>
    </row>
    <row r="575" spans="3:3" s="5" customFormat="1" ht="15.75" x14ac:dyDescent="0.25">
      <c r="C575" s="193"/>
    </row>
    <row r="576" spans="3:3" s="5" customFormat="1" ht="15.75" x14ac:dyDescent="0.25">
      <c r="C576" s="193"/>
    </row>
    <row r="577" spans="3:3" s="5" customFormat="1" ht="15.75" x14ac:dyDescent="0.25">
      <c r="C577" s="193"/>
    </row>
    <row r="578" spans="3:3" s="5" customFormat="1" ht="15.75" x14ac:dyDescent="0.25">
      <c r="C578" s="193"/>
    </row>
    <row r="579" spans="3:3" s="5" customFormat="1" ht="15.75" x14ac:dyDescent="0.25">
      <c r="C579" s="193"/>
    </row>
    <row r="580" spans="3:3" s="5" customFormat="1" ht="15.75" x14ac:dyDescent="0.25">
      <c r="C580" s="193"/>
    </row>
    <row r="581" spans="3:3" s="5" customFormat="1" ht="15.75" x14ac:dyDescent="0.25">
      <c r="C581" s="193"/>
    </row>
    <row r="582" spans="3:3" s="5" customFormat="1" ht="15.75" x14ac:dyDescent="0.25">
      <c r="C582" s="193"/>
    </row>
    <row r="583" spans="3:3" s="5" customFormat="1" ht="15.75" x14ac:dyDescent="0.25">
      <c r="C583" s="193"/>
    </row>
    <row r="584" spans="3:3" s="5" customFormat="1" ht="15.75" x14ac:dyDescent="0.25">
      <c r="C584" s="193"/>
    </row>
    <row r="585" spans="3:3" s="5" customFormat="1" ht="15.75" x14ac:dyDescent="0.25">
      <c r="C585" s="193"/>
    </row>
    <row r="586" spans="3:3" s="5" customFormat="1" ht="15.75" x14ac:dyDescent="0.25">
      <c r="C586" s="193"/>
    </row>
    <row r="587" spans="3:3" s="5" customFormat="1" ht="15.75" x14ac:dyDescent="0.25">
      <c r="C587" s="193"/>
    </row>
    <row r="588" spans="3:3" s="5" customFormat="1" ht="15.75" x14ac:dyDescent="0.25">
      <c r="C588" s="193"/>
    </row>
    <row r="589" spans="3:3" s="5" customFormat="1" ht="15.75" x14ac:dyDescent="0.25">
      <c r="C589" s="193"/>
    </row>
    <row r="590" spans="3:3" s="5" customFormat="1" ht="15.75" x14ac:dyDescent="0.25">
      <c r="C590" s="193"/>
    </row>
    <row r="591" spans="3:3" s="5" customFormat="1" ht="15.75" x14ac:dyDescent="0.25">
      <c r="C591" s="193"/>
    </row>
    <row r="592" spans="3:3" s="5" customFormat="1" ht="15.75" x14ac:dyDescent="0.25">
      <c r="C592" s="193"/>
    </row>
    <row r="593" spans="3:3" s="5" customFormat="1" ht="15.75" x14ac:dyDescent="0.25">
      <c r="C593" s="193"/>
    </row>
    <row r="594" spans="3:3" s="5" customFormat="1" ht="15.75" x14ac:dyDescent="0.25">
      <c r="C594" s="193"/>
    </row>
  </sheetData>
  <autoFilter ref="B20:B40" xr:uid="{00000000-0009-0000-0000-000002000000}">
    <sortState xmlns:xlrd2="http://schemas.microsoft.com/office/spreadsheetml/2017/richdata2" ref="B19:B35">
      <sortCondition ref="B18"/>
    </sortState>
  </autoFilter>
  <mergeCells count="1">
    <mergeCell ref="C7:H7"/>
  </mergeCells>
  <printOptions horizontalCentered="1"/>
  <pageMargins left="0.25" right="0.25" top="0.75" bottom="0.75" header="0.3" footer="0.3"/>
  <pageSetup paperSize="5" scale="47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BA9D-3D9D-42A2-9FBC-7263BBBC5897}">
  <sheetPr>
    <pageSetUpPr fitToPage="1"/>
  </sheetPr>
  <dimension ref="A2:I557"/>
  <sheetViews>
    <sheetView workbookViewId="0">
      <selection activeCell="B13" sqref="B13:F13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3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1</v>
      </c>
    </row>
    <row r="6" spans="1:9" ht="16.5" thickBot="1" x14ac:dyDescent="0.3">
      <c r="A6" s="4"/>
      <c r="B6" s="28" t="s">
        <v>10</v>
      </c>
      <c r="C6" s="29">
        <f>SUM(C7:C8)</f>
        <v>25033.68</v>
      </c>
      <c r="D6" s="29">
        <f>SUM(D7:D8)</f>
        <v>21611.859999999997</v>
      </c>
      <c r="E6" s="29">
        <f>SUM(E7:E8)</f>
        <v>43223.719999999994</v>
      </c>
      <c r="F6" s="29">
        <v>50067.360000000001</v>
      </c>
    </row>
    <row r="7" spans="1:9" ht="15.75" x14ac:dyDescent="0.25">
      <c r="A7" s="5"/>
      <c r="B7" s="26" t="s">
        <v>11</v>
      </c>
      <c r="C7" s="27">
        <v>20400</v>
      </c>
      <c r="D7" s="27">
        <v>17750.599999999999</v>
      </c>
      <c r="E7" s="27">
        <f>D7*2</f>
        <v>35501.199999999997</v>
      </c>
      <c r="F7" s="27">
        <v>40800</v>
      </c>
    </row>
    <row r="8" spans="1:9" ht="24" thickBot="1" x14ac:dyDescent="0.4">
      <c r="A8" s="5"/>
      <c r="B8" s="30" t="s">
        <v>12</v>
      </c>
      <c r="C8" s="31">
        <v>4633.68</v>
      </c>
      <c r="D8" s="31">
        <v>3861.2599999999998</v>
      </c>
      <c r="E8" s="27">
        <f t="shared" ref="E8" si="0">D8*2</f>
        <v>7722.5199999999995</v>
      </c>
      <c r="F8" s="31">
        <v>9267.36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SUM(C10:C13)</f>
        <v>152100</v>
      </c>
      <c r="D9" s="34">
        <f>SUM(D10:D13)</f>
        <v>108197.59</v>
      </c>
      <c r="E9" s="34">
        <f>SUM(E10:E13)</f>
        <v>216395.18</v>
      </c>
      <c r="F9" s="34">
        <v>177700</v>
      </c>
    </row>
    <row r="10" spans="1:9" ht="15.75" x14ac:dyDescent="0.25">
      <c r="A10" s="5"/>
      <c r="B10" s="24" t="s">
        <v>16</v>
      </c>
      <c r="C10" s="25">
        <v>600</v>
      </c>
      <c r="D10" s="25"/>
      <c r="E10" s="27">
        <f t="shared" ref="E10:E16" si="1">D10*2</f>
        <v>0</v>
      </c>
      <c r="F10" s="25">
        <v>600</v>
      </c>
    </row>
    <row r="11" spans="1:9" ht="15.75" x14ac:dyDescent="0.25">
      <c r="A11" s="5"/>
      <c r="B11" s="24" t="s">
        <v>28</v>
      </c>
      <c r="C11" s="25"/>
      <c r="D11" s="25"/>
      <c r="E11" s="27">
        <f t="shared" si="1"/>
        <v>0</v>
      </c>
      <c r="F11" s="25">
        <v>600</v>
      </c>
    </row>
    <row r="12" spans="1:9" ht="15.75" x14ac:dyDescent="0.25">
      <c r="A12" s="5"/>
      <c r="B12" s="24" t="s">
        <v>29</v>
      </c>
      <c r="C12" s="25">
        <v>1500</v>
      </c>
      <c r="D12" s="25">
        <v>484.06</v>
      </c>
      <c r="E12" s="27">
        <f t="shared" si="1"/>
        <v>968.12</v>
      </c>
      <c r="F12" s="25">
        <v>1500</v>
      </c>
    </row>
    <row r="13" spans="1:9" ht="16.5" thickBot="1" x14ac:dyDescent="0.3">
      <c r="A13" s="5"/>
      <c r="B13" s="24" t="s">
        <v>37</v>
      </c>
      <c r="C13" s="25">
        <v>150000</v>
      </c>
      <c r="D13" s="25">
        <v>107713.53</v>
      </c>
      <c r="E13" s="27">
        <f t="shared" si="1"/>
        <v>215427.06</v>
      </c>
      <c r="F13" s="25">
        <v>175000</v>
      </c>
    </row>
    <row r="14" spans="1:9" ht="16.5" thickBot="1" x14ac:dyDescent="0.3">
      <c r="A14" s="4"/>
      <c r="B14" s="32" t="s">
        <v>41</v>
      </c>
      <c r="C14" s="33">
        <f t="shared" ref="C14:E14" si="2">SUM(C15:C16)</f>
        <v>0</v>
      </c>
      <c r="D14" s="33">
        <f t="shared" si="2"/>
        <v>0</v>
      </c>
      <c r="E14" s="33">
        <f t="shared" si="2"/>
        <v>0</v>
      </c>
      <c r="F14" s="34">
        <v>0</v>
      </c>
    </row>
    <row r="15" spans="1:9" ht="15.75" x14ac:dyDescent="0.25">
      <c r="A15" s="5"/>
      <c r="B15" s="26" t="s">
        <v>42</v>
      </c>
      <c r="C15" s="27"/>
      <c r="D15" s="27"/>
      <c r="E15" s="27">
        <f t="shared" si="1"/>
        <v>0</v>
      </c>
      <c r="F15" s="27"/>
    </row>
    <row r="16" spans="1:9" ht="16.5" thickBot="1" x14ac:dyDescent="0.3">
      <c r="A16" s="5"/>
      <c r="B16" s="30" t="s">
        <v>43</v>
      </c>
      <c r="C16" s="31"/>
      <c r="D16" s="31"/>
      <c r="E16" s="27">
        <f t="shared" si="1"/>
        <v>0</v>
      </c>
      <c r="F16" s="31"/>
    </row>
    <row r="17" spans="1:6" ht="16.5" thickBot="1" x14ac:dyDescent="0.3">
      <c r="A17" s="5"/>
      <c r="B17" s="17" t="s">
        <v>50</v>
      </c>
      <c r="C17" s="18">
        <f>C6+C9+C14</f>
        <v>177133.68</v>
      </c>
      <c r="D17" s="18">
        <f>D6+D9+D14</f>
        <v>129809.45</v>
      </c>
      <c r="E17" s="18">
        <f>E6+E9+E14</f>
        <v>259618.9</v>
      </c>
      <c r="F17" s="18">
        <f>F6+F9+F14</f>
        <v>227767.36</v>
      </c>
    </row>
    <row r="18" spans="1:6" ht="15.75" x14ac:dyDescent="0.25">
      <c r="A18" s="5"/>
      <c r="B18" s="5"/>
      <c r="C18" s="13"/>
      <c r="D18" s="13"/>
      <c r="E18" s="13"/>
      <c r="F18" s="14"/>
    </row>
    <row r="19" spans="1:6" ht="15.75" x14ac:dyDescent="0.25">
      <c r="A19" s="5"/>
      <c r="B19" s="5"/>
      <c r="C19" s="13"/>
      <c r="D19" s="13"/>
      <c r="E19" s="13"/>
      <c r="F19" s="14"/>
    </row>
    <row r="20" spans="1:6" ht="15.75" x14ac:dyDescent="0.25">
      <c r="A20" s="5"/>
      <c r="B20" s="5"/>
      <c r="C20" s="13"/>
      <c r="D20" s="13"/>
      <c r="E20" s="13"/>
      <c r="F20" s="14"/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</sheetData>
  <autoFilter ref="B5:F17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9723-AA6B-43A4-89AF-BC6118F68EF8}">
  <dimension ref="A2:I560"/>
  <sheetViews>
    <sheetView workbookViewId="0">
      <selection activeCell="F25" sqref="F25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36" t="s">
        <v>62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12.25</v>
      </c>
    </row>
    <row r="6" spans="1:9" ht="16.5" thickBot="1" x14ac:dyDescent="0.3">
      <c r="A6" s="4"/>
      <c r="B6" s="28" t="s">
        <v>10</v>
      </c>
      <c r="C6" s="29">
        <f>SUM(C7:C8)</f>
        <v>712057.05934469891</v>
      </c>
      <c r="D6" s="29">
        <f>SUM(D7:D8)</f>
        <v>286863.08</v>
      </c>
      <c r="E6" s="29">
        <f>SUM(E7:E8)</f>
        <v>573726.16</v>
      </c>
      <c r="F6" s="29">
        <f>SUM(F7:F8)</f>
        <v>779702.21838068357</v>
      </c>
    </row>
    <row r="7" spans="1:9" ht="15.75" x14ac:dyDescent="0.25">
      <c r="A7" s="5"/>
      <c r="B7" s="26" t="s">
        <v>11</v>
      </c>
      <c r="C7" s="27">
        <v>527183.91742097854</v>
      </c>
      <c r="D7" s="27">
        <v>210303.51</v>
      </c>
      <c r="E7" s="27">
        <v>420607.02</v>
      </c>
      <c r="F7" s="27">
        <v>580261.66166781867</v>
      </c>
    </row>
    <row r="8" spans="1:9" ht="24" thickBot="1" x14ac:dyDescent="0.4">
      <c r="A8" s="5"/>
      <c r="B8" s="30" t="s">
        <v>12</v>
      </c>
      <c r="C8" s="31">
        <v>184873.14192372031</v>
      </c>
      <c r="D8" s="31">
        <v>76559.570000000007</v>
      </c>
      <c r="E8" s="27">
        <v>153119.14000000001</v>
      </c>
      <c r="F8" s="31">
        <v>199440.55671286484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>SUM(C10:C16)</f>
        <v>22630</v>
      </c>
      <c r="D9" s="34">
        <f>SUM(D10:D16)</f>
        <v>10148.35</v>
      </c>
      <c r="E9" s="34">
        <f>SUM(E10:E16)</f>
        <v>20296.7</v>
      </c>
      <c r="F9" s="34">
        <f>SUM(F10:F16)</f>
        <v>23200</v>
      </c>
    </row>
    <row r="10" spans="1:9" ht="15.75" x14ac:dyDescent="0.25">
      <c r="A10" s="5"/>
      <c r="B10" s="24" t="s">
        <v>16</v>
      </c>
      <c r="C10" s="25">
        <v>3300</v>
      </c>
      <c r="D10" s="25">
        <v>1387.74</v>
      </c>
      <c r="E10" s="27">
        <f t="shared" ref="E10:E19" si="0">D10*2</f>
        <v>2775.48</v>
      </c>
      <c r="F10" s="25">
        <v>3300</v>
      </c>
    </row>
    <row r="11" spans="1:9" ht="15.75" x14ac:dyDescent="0.25">
      <c r="A11" s="5"/>
      <c r="B11" s="24" t="s">
        <v>26</v>
      </c>
      <c r="C11" s="25">
        <v>2600</v>
      </c>
      <c r="D11" s="25">
        <v>1460.95</v>
      </c>
      <c r="E11" s="27">
        <f t="shared" si="0"/>
        <v>2921.9</v>
      </c>
      <c r="F11" s="25">
        <v>3000</v>
      </c>
    </row>
    <row r="12" spans="1:9" ht="15.75" x14ac:dyDescent="0.25">
      <c r="A12" s="5"/>
      <c r="B12" s="24" t="s">
        <v>28</v>
      </c>
      <c r="C12" s="25">
        <v>2300</v>
      </c>
      <c r="D12" s="25">
        <v>1084.71</v>
      </c>
      <c r="E12" s="27">
        <f t="shared" si="0"/>
        <v>2169.42</v>
      </c>
      <c r="F12" s="25">
        <v>2300</v>
      </c>
      <c r="G12" s="39" t="s">
        <v>63</v>
      </c>
    </row>
    <row r="13" spans="1:9" ht="15.75" x14ac:dyDescent="0.25">
      <c r="A13" s="5"/>
      <c r="B13" s="24" t="s">
        <v>29</v>
      </c>
      <c r="C13" s="25">
        <v>12000</v>
      </c>
      <c r="D13" s="25">
        <v>5380.26</v>
      </c>
      <c r="E13" s="27">
        <f t="shared" si="0"/>
        <v>10760.52</v>
      </c>
      <c r="F13" s="25">
        <v>12000</v>
      </c>
    </row>
    <row r="14" spans="1:9" ht="15.75" x14ac:dyDescent="0.25">
      <c r="A14" s="5"/>
      <c r="B14" s="24" t="s">
        <v>30</v>
      </c>
      <c r="C14" s="25">
        <v>1330</v>
      </c>
      <c r="D14" s="25">
        <v>804.69</v>
      </c>
      <c r="E14" s="27">
        <f t="shared" si="0"/>
        <v>1609.38</v>
      </c>
      <c r="F14" s="25">
        <v>1500</v>
      </c>
    </row>
    <row r="15" spans="1:9" ht="15.75" x14ac:dyDescent="0.25">
      <c r="A15" s="5"/>
      <c r="B15" s="24" t="s">
        <v>33</v>
      </c>
      <c r="C15" s="25">
        <v>100</v>
      </c>
      <c r="D15" s="25">
        <v>30</v>
      </c>
      <c r="E15" s="27">
        <f t="shared" si="0"/>
        <v>60</v>
      </c>
      <c r="F15" s="25">
        <v>100</v>
      </c>
    </row>
    <row r="16" spans="1:9" ht="16.5" thickBot="1" x14ac:dyDescent="0.3">
      <c r="A16" s="5"/>
      <c r="B16" s="24" t="s">
        <v>39</v>
      </c>
      <c r="C16" s="25">
        <v>1000</v>
      </c>
      <c r="D16" s="25"/>
      <c r="E16" s="27">
        <f t="shared" si="0"/>
        <v>0</v>
      </c>
      <c r="F16" s="25">
        <v>1000</v>
      </c>
    </row>
    <row r="17" spans="1:6" ht="16.5" thickBot="1" x14ac:dyDescent="0.3">
      <c r="A17" s="4"/>
      <c r="B17" s="32" t="s">
        <v>41</v>
      </c>
      <c r="C17" s="33">
        <f t="shared" ref="C17:F17" si="1">SUM(C18:C19)</f>
        <v>500</v>
      </c>
      <c r="D17" s="33">
        <f t="shared" si="1"/>
        <v>0</v>
      </c>
      <c r="E17" s="33">
        <f t="shared" si="1"/>
        <v>0</v>
      </c>
      <c r="F17" s="33">
        <f t="shared" si="1"/>
        <v>500</v>
      </c>
    </row>
    <row r="18" spans="1:6" ht="15.75" x14ac:dyDescent="0.25">
      <c r="A18" s="5"/>
      <c r="B18" s="26" t="s">
        <v>42</v>
      </c>
      <c r="C18" s="27">
        <v>250</v>
      </c>
      <c r="D18" s="27"/>
      <c r="E18" s="27">
        <f t="shared" si="0"/>
        <v>0</v>
      </c>
      <c r="F18" s="27">
        <v>250</v>
      </c>
    </row>
    <row r="19" spans="1:6" ht="16.5" thickBot="1" x14ac:dyDescent="0.3">
      <c r="A19" s="5"/>
      <c r="B19" s="30" t="s">
        <v>43</v>
      </c>
      <c r="C19" s="31">
        <v>250</v>
      </c>
      <c r="D19" s="31"/>
      <c r="E19" s="27">
        <f t="shared" si="0"/>
        <v>0</v>
      </c>
      <c r="F19" s="31">
        <v>250</v>
      </c>
    </row>
    <row r="20" spans="1:6" ht="16.5" thickBot="1" x14ac:dyDescent="0.3">
      <c r="A20" s="5"/>
      <c r="B20" s="17" t="s">
        <v>50</v>
      </c>
      <c r="C20" s="18">
        <f>C6+C9+C17</f>
        <v>735187.05934469891</v>
      </c>
      <c r="D20" s="18">
        <f>D6+D9+D17</f>
        <v>297011.43</v>
      </c>
      <c r="E20" s="18">
        <f>E6+E9+E17</f>
        <v>594022.86</v>
      </c>
      <c r="F20" s="18">
        <f>F6+F9+F17</f>
        <v>803402.21838068357</v>
      </c>
    </row>
    <row r="21" spans="1:6" ht="15.75" x14ac:dyDescent="0.25">
      <c r="A21" s="5"/>
      <c r="B21" s="5"/>
      <c r="C21" s="13"/>
      <c r="D21" s="13"/>
      <c r="E21" s="13"/>
      <c r="F21" s="14"/>
    </row>
    <row r="22" spans="1:6" ht="15.75" x14ac:dyDescent="0.25">
      <c r="A22" s="5"/>
      <c r="B22" s="5"/>
      <c r="C22" s="13"/>
      <c r="D22" s="13"/>
      <c r="E22" s="13"/>
      <c r="F22" s="14"/>
    </row>
    <row r="23" spans="1:6" ht="15.75" x14ac:dyDescent="0.25">
      <c r="A23" s="5"/>
      <c r="B23" s="5"/>
      <c r="C23" s="13"/>
      <c r="D23" s="13"/>
      <c r="E23" s="13"/>
      <c r="F23" s="14"/>
    </row>
    <row r="24" spans="1:6" ht="15.75" x14ac:dyDescent="0.25">
      <c r="A24" s="5"/>
      <c r="B24" s="5"/>
      <c r="C24" s="13"/>
      <c r="D24" s="13"/>
      <c r="E24" s="13"/>
      <c r="F24" s="14"/>
    </row>
    <row r="25" spans="1:6" ht="15.75" x14ac:dyDescent="0.25">
      <c r="A25" s="5"/>
      <c r="B25" s="5"/>
      <c r="C25" s="13"/>
      <c r="D25" s="13"/>
      <c r="E25" s="13"/>
      <c r="F25" s="14"/>
    </row>
    <row r="26" spans="1:6" ht="15.75" x14ac:dyDescent="0.25">
      <c r="A26" s="5"/>
      <c r="B26" s="5"/>
      <c r="C26" s="13"/>
      <c r="D26" s="13"/>
      <c r="E26" s="13"/>
      <c r="F26" s="14"/>
    </row>
    <row r="27" spans="1:6" ht="15.75" x14ac:dyDescent="0.25">
      <c r="A27" s="5"/>
      <c r="B27" s="5"/>
      <c r="C27" s="13"/>
      <c r="D27" s="13"/>
      <c r="E27" s="13"/>
      <c r="F27" s="14"/>
    </row>
    <row r="28" spans="1:6" ht="15.75" x14ac:dyDescent="0.25">
      <c r="A28" s="5"/>
      <c r="B28" s="5"/>
      <c r="C28" s="13"/>
      <c r="D28" s="13"/>
      <c r="E28" s="13"/>
      <c r="F28" s="14"/>
    </row>
    <row r="29" spans="1:6" ht="15.75" x14ac:dyDescent="0.25">
      <c r="A29" s="5"/>
      <c r="B29" s="5"/>
      <c r="C29" s="13"/>
      <c r="D29" s="13"/>
      <c r="E29" s="13"/>
      <c r="F29" s="14"/>
    </row>
    <row r="30" spans="1:6" ht="15.75" x14ac:dyDescent="0.25">
      <c r="A30" s="5"/>
      <c r="B30" s="5"/>
      <c r="C30" s="13"/>
      <c r="D30" s="13"/>
      <c r="E30" s="13"/>
      <c r="F30" s="14"/>
    </row>
    <row r="31" spans="1:6" ht="15.75" x14ac:dyDescent="0.25">
      <c r="A31" s="5"/>
      <c r="B31" s="5"/>
      <c r="C31" s="13"/>
      <c r="D31" s="13"/>
      <c r="E31" s="13"/>
      <c r="F31" s="14"/>
    </row>
    <row r="32" spans="1:6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</sheetData>
  <autoFilter ref="B5:F20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5ABAA-8D38-4E3D-AADC-78C7344CE7D1}">
  <sheetPr>
    <pageSetUpPr fitToPage="1"/>
  </sheetPr>
  <dimension ref="A2:I566"/>
  <sheetViews>
    <sheetView topLeftCell="A4" workbookViewId="0">
      <selection activeCell="H27" sqref="H27"/>
    </sheetView>
  </sheetViews>
  <sheetFormatPr defaultRowHeight="15" x14ac:dyDescent="0.25"/>
  <cols>
    <col min="1" max="1" width="2.42578125" customWidth="1"/>
    <col min="2" max="2" width="29.5703125" customWidth="1"/>
    <col min="3" max="3" width="22.140625" style="10" customWidth="1"/>
    <col min="4" max="4" width="23.7109375" style="10" customWidth="1"/>
    <col min="5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9"/>
      <c r="D2" s="15" t="s">
        <v>0</v>
      </c>
      <c r="E2" s="9"/>
    </row>
    <row r="3" spans="1:9" ht="31.5" x14ac:dyDescent="0.5">
      <c r="A3" s="2"/>
      <c r="B3" s="2"/>
      <c r="C3" s="11"/>
      <c r="D3" s="16" t="s">
        <v>1</v>
      </c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35">
      <c r="A5" s="3"/>
      <c r="B5" s="19" t="s">
        <v>2</v>
      </c>
      <c r="C5" s="20" t="s">
        <v>67</v>
      </c>
      <c r="D5" s="20" t="s">
        <v>66</v>
      </c>
      <c r="E5" s="20" t="s">
        <v>70</v>
      </c>
      <c r="F5" s="21" t="s">
        <v>68</v>
      </c>
      <c r="H5" s="7" t="s">
        <v>53</v>
      </c>
      <c r="I5" s="7">
        <v>9</v>
      </c>
    </row>
    <row r="6" spans="1:9" ht="16.5" thickBot="1" x14ac:dyDescent="0.3">
      <c r="A6" s="4"/>
      <c r="B6" s="28" t="s">
        <v>10</v>
      </c>
      <c r="C6" s="29">
        <f>SUM(C7:C8)</f>
        <v>555457.75655358657</v>
      </c>
      <c r="D6" s="29">
        <f>SUM(D7:D8)</f>
        <v>269240.82</v>
      </c>
      <c r="E6" s="29">
        <f>SUM(E7:E8)</f>
        <v>538481.64</v>
      </c>
      <c r="F6" s="29">
        <f>SUM(F7:F8)</f>
        <v>619439.37030278682</v>
      </c>
    </row>
    <row r="7" spans="1:9" ht="15.75" x14ac:dyDescent="0.25">
      <c r="A7" s="5"/>
      <c r="B7" s="26" t="s">
        <v>11</v>
      </c>
      <c r="C7" s="27">
        <v>421325.12183395744</v>
      </c>
      <c r="D7" s="27">
        <v>196159.65</v>
      </c>
      <c r="E7" s="27">
        <f>D7*2</f>
        <v>392319.3</v>
      </c>
      <c r="F7" s="27">
        <v>474480.705972864</v>
      </c>
    </row>
    <row r="8" spans="1:9" ht="24" thickBot="1" x14ac:dyDescent="0.4">
      <c r="A8" s="5"/>
      <c r="B8" s="30" t="s">
        <v>12</v>
      </c>
      <c r="C8" s="31">
        <v>134132.63471962919</v>
      </c>
      <c r="D8" s="31">
        <v>73081.17</v>
      </c>
      <c r="E8" s="27">
        <f>D8*2</f>
        <v>146162.34</v>
      </c>
      <c r="F8" s="31">
        <v>144958.66432992285</v>
      </c>
      <c r="H8" s="7" t="s">
        <v>58</v>
      </c>
      <c r="I8" s="7" t="s">
        <v>59</v>
      </c>
    </row>
    <row r="9" spans="1:9" ht="16.5" thickBot="1" x14ac:dyDescent="0.3">
      <c r="A9" s="4"/>
      <c r="B9" s="32" t="s">
        <v>13</v>
      </c>
      <c r="C9" s="34">
        <f t="shared" ref="C9:D9" si="0">SUM(C10:C22)</f>
        <v>174900</v>
      </c>
      <c r="D9" s="34">
        <f t="shared" si="0"/>
        <v>88212.49000000002</v>
      </c>
      <c r="E9" s="34">
        <f>SUM(E10:E22)</f>
        <v>176424.98000000004</v>
      </c>
      <c r="F9" s="34">
        <f>SUM(F10:F22)</f>
        <v>197380</v>
      </c>
    </row>
    <row r="10" spans="1:9" ht="15.75" x14ac:dyDescent="0.25">
      <c r="A10" s="5"/>
      <c r="B10" s="26" t="s">
        <v>16</v>
      </c>
      <c r="C10" s="27">
        <v>3600</v>
      </c>
      <c r="D10" s="27">
        <v>1589.41</v>
      </c>
      <c r="E10" s="27">
        <f t="shared" ref="E10:E25" si="1">D10*2</f>
        <v>3178.82</v>
      </c>
      <c r="F10" s="27">
        <v>3600</v>
      </c>
    </row>
    <row r="11" spans="1:9" ht="15.75" x14ac:dyDescent="0.25">
      <c r="A11" s="5"/>
      <c r="B11" s="24" t="s">
        <v>18</v>
      </c>
      <c r="C11" s="25">
        <v>600</v>
      </c>
      <c r="D11" s="25">
        <v>210</v>
      </c>
      <c r="E11" s="27">
        <f t="shared" si="1"/>
        <v>420</v>
      </c>
      <c r="F11" s="25">
        <v>600</v>
      </c>
      <c r="G11" t="s">
        <v>55</v>
      </c>
    </row>
    <row r="12" spans="1:9" ht="15.75" x14ac:dyDescent="0.25">
      <c r="A12" s="5"/>
      <c r="B12" s="24" t="s">
        <v>22</v>
      </c>
      <c r="C12" s="25">
        <v>92700</v>
      </c>
      <c r="D12" s="25">
        <v>50617.38</v>
      </c>
      <c r="E12" s="27">
        <f t="shared" si="1"/>
        <v>101234.76</v>
      </c>
      <c r="F12" s="25">
        <v>110000</v>
      </c>
    </row>
    <row r="13" spans="1:9" ht="15.75" x14ac:dyDescent="0.25">
      <c r="A13" s="5"/>
      <c r="B13" s="24" t="s">
        <v>23</v>
      </c>
      <c r="C13" s="25">
        <v>30000</v>
      </c>
      <c r="D13" s="25">
        <v>13866.26</v>
      </c>
      <c r="E13" s="27">
        <f t="shared" si="1"/>
        <v>27732.52</v>
      </c>
      <c r="F13" s="25">
        <v>30000</v>
      </c>
    </row>
    <row r="14" spans="1:9" ht="15.75" x14ac:dyDescent="0.25">
      <c r="A14" s="5"/>
      <c r="B14" s="24" t="s">
        <v>26</v>
      </c>
      <c r="C14" s="25">
        <v>5150</v>
      </c>
      <c r="D14" s="25">
        <v>1677.55</v>
      </c>
      <c r="E14" s="27">
        <f t="shared" si="1"/>
        <v>3355.1</v>
      </c>
      <c r="F14" s="25">
        <v>5150</v>
      </c>
    </row>
    <row r="15" spans="1:9" ht="15.75" x14ac:dyDescent="0.25">
      <c r="A15" s="5"/>
      <c r="B15" s="24" t="s">
        <v>28</v>
      </c>
      <c r="C15" s="25">
        <v>6000</v>
      </c>
      <c r="D15" s="25">
        <v>2164.52</v>
      </c>
      <c r="E15" s="27">
        <f t="shared" si="1"/>
        <v>4329.04</v>
      </c>
      <c r="F15" s="25">
        <v>6000</v>
      </c>
      <c r="G15" t="s">
        <v>54</v>
      </c>
    </row>
    <row r="16" spans="1:9" ht="15.75" x14ac:dyDescent="0.25">
      <c r="A16" s="5"/>
      <c r="B16" s="24" t="s">
        <v>29</v>
      </c>
      <c r="C16" s="25">
        <v>14420</v>
      </c>
      <c r="D16" s="25">
        <v>7856.35</v>
      </c>
      <c r="E16" s="27">
        <f t="shared" si="1"/>
        <v>15712.7</v>
      </c>
      <c r="F16" s="25">
        <v>18000</v>
      </c>
    </row>
    <row r="17" spans="1:7" ht="15.75" x14ac:dyDescent="0.25">
      <c r="A17" s="5"/>
      <c r="B17" s="24" t="s">
        <v>30</v>
      </c>
      <c r="C17" s="25">
        <v>700</v>
      </c>
      <c r="D17" s="25">
        <v>608.95000000000005</v>
      </c>
      <c r="E17" s="27">
        <f t="shared" si="1"/>
        <v>1217.9000000000001</v>
      </c>
      <c r="F17" s="25">
        <v>1300</v>
      </c>
    </row>
    <row r="18" spans="1:7" ht="15.75" x14ac:dyDescent="0.25">
      <c r="A18" s="5"/>
      <c r="B18" s="24" t="s">
        <v>33</v>
      </c>
      <c r="C18" s="25">
        <v>100</v>
      </c>
      <c r="D18" s="25">
        <v>78.069999999999993</v>
      </c>
      <c r="E18" s="27">
        <f t="shared" si="1"/>
        <v>156.13999999999999</v>
      </c>
      <c r="F18" s="25">
        <v>100</v>
      </c>
    </row>
    <row r="19" spans="1:7" ht="15.75" x14ac:dyDescent="0.25">
      <c r="A19" s="5"/>
      <c r="B19" s="24" t="s">
        <v>34</v>
      </c>
      <c r="C19" s="25">
        <v>20000</v>
      </c>
      <c r="D19" s="25">
        <v>8544</v>
      </c>
      <c r="E19" s="27">
        <f t="shared" si="1"/>
        <v>17088</v>
      </c>
      <c r="F19" s="25">
        <v>20000</v>
      </c>
      <c r="G19" t="s">
        <v>60</v>
      </c>
    </row>
    <row r="20" spans="1:7" ht="15.75" x14ac:dyDescent="0.25">
      <c r="A20" s="5"/>
      <c r="B20" s="24" t="s">
        <v>36</v>
      </c>
      <c r="C20" s="25">
        <v>1130</v>
      </c>
      <c r="D20" s="25"/>
      <c r="E20" s="27">
        <f t="shared" si="1"/>
        <v>0</v>
      </c>
      <c r="F20" s="25">
        <v>1130</v>
      </c>
      <c r="G20" t="s">
        <v>57</v>
      </c>
    </row>
    <row r="21" spans="1:7" ht="15.75" x14ac:dyDescent="0.25">
      <c r="A21" s="5"/>
      <c r="B21" s="24" t="s">
        <v>37</v>
      </c>
      <c r="C21" s="25"/>
      <c r="D21" s="25">
        <v>1000</v>
      </c>
      <c r="E21" s="27">
        <f t="shared" si="1"/>
        <v>2000</v>
      </c>
      <c r="F21" s="25">
        <v>1000</v>
      </c>
      <c r="G21" t="s">
        <v>61</v>
      </c>
    </row>
    <row r="22" spans="1:7" ht="16.5" thickBot="1" x14ac:dyDescent="0.3">
      <c r="A22" s="5"/>
      <c r="B22" s="30" t="s">
        <v>39</v>
      </c>
      <c r="C22" s="31">
        <v>500</v>
      </c>
      <c r="D22" s="31"/>
      <c r="E22" s="27">
        <f t="shared" si="1"/>
        <v>0</v>
      </c>
      <c r="F22" s="31">
        <v>500</v>
      </c>
    </row>
    <row r="23" spans="1:7" ht="16.5" thickBot="1" x14ac:dyDescent="0.3">
      <c r="A23" s="4"/>
      <c r="B23" s="32" t="s">
        <v>41</v>
      </c>
      <c r="C23" s="33">
        <f t="shared" ref="C23:D23" si="2">SUM(C24:C25)</f>
        <v>1250</v>
      </c>
      <c r="D23" s="33">
        <f t="shared" si="2"/>
        <v>599.97</v>
      </c>
      <c r="E23" s="33">
        <f>SUM(E24:E25)</f>
        <v>1199.94</v>
      </c>
      <c r="F23" s="34">
        <f>SUM(F24:F25)</f>
        <v>1250</v>
      </c>
    </row>
    <row r="24" spans="1:7" ht="15.75" x14ac:dyDescent="0.25">
      <c r="A24" s="5"/>
      <c r="B24" s="26" t="s">
        <v>42</v>
      </c>
      <c r="C24" s="27">
        <v>1000</v>
      </c>
      <c r="D24" s="27">
        <v>599.97</v>
      </c>
      <c r="E24" s="27">
        <f t="shared" si="1"/>
        <v>1199.94</v>
      </c>
      <c r="F24" s="27">
        <v>1000</v>
      </c>
      <c r="G24" t="s">
        <v>56</v>
      </c>
    </row>
    <row r="25" spans="1:7" ht="16.5" thickBot="1" x14ac:dyDescent="0.3">
      <c r="A25" s="5"/>
      <c r="B25" s="30" t="s">
        <v>43</v>
      </c>
      <c r="C25" s="31">
        <v>250</v>
      </c>
      <c r="D25" s="31"/>
      <c r="E25" s="27">
        <f t="shared" si="1"/>
        <v>0</v>
      </c>
      <c r="F25" s="31">
        <v>250</v>
      </c>
    </row>
    <row r="26" spans="1:7" ht="18.75" thickBot="1" x14ac:dyDescent="0.3">
      <c r="A26" s="5"/>
      <c r="B26" s="37" t="s">
        <v>50</v>
      </c>
      <c r="C26" s="38">
        <f t="shared" ref="C26" si="3">C6+C9+C23</f>
        <v>731607.75655358657</v>
      </c>
      <c r="D26" s="38">
        <f t="shared" ref="D26" si="4">D6+D9+D23</f>
        <v>358053.28</v>
      </c>
      <c r="E26" s="38">
        <f>E6+E9+E23</f>
        <v>716106.56</v>
      </c>
      <c r="F26" s="38">
        <f>F6+F9+F23</f>
        <v>818069.37030278682</v>
      </c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5.75" x14ac:dyDescent="0.25">
      <c r="A29" s="5"/>
      <c r="B29" s="5"/>
      <c r="C29" s="13"/>
      <c r="D29" s="13"/>
      <c r="E29" s="13"/>
      <c r="F29" s="14"/>
    </row>
    <row r="30" spans="1:7" ht="15.75" x14ac:dyDescent="0.25">
      <c r="A30" s="5"/>
      <c r="B30" s="5"/>
      <c r="C30" s="13"/>
      <c r="D30" s="13"/>
      <c r="E30" s="13"/>
      <c r="F30" s="14"/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</sheetData>
  <autoFilter ref="B5:F26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B2E3-6572-4F3B-A630-311DCE6A00D4}">
  <sheetPr>
    <pageSetUpPr fitToPage="1"/>
  </sheetPr>
  <dimension ref="A2:I577"/>
  <sheetViews>
    <sheetView topLeftCell="A7" workbookViewId="0">
      <selection activeCell="I21" sqref="I21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52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/>
      <c r="D6" s="52"/>
      <c r="E6" s="52"/>
      <c r="F6" s="52"/>
    </row>
    <row r="7" spans="1:9" ht="16.5" thickBot="1" x14ac:dyDescent="0.3">
      <c r="A7" s="4"/>
      <c r="B7" s="28" t="s">
        <v>10</v>
      </c>
      <c r="C7" s="29">
        <f>SUM(C8:C9)</f>
        <v>0</v>
      </c>
      <c r="D7" s="29">
        <f>SUM(D8:D9)</f>
        <v>0</v>
      </c>
      <c r="E7" s="29">
        <f>SUM(E8:E9)</f>
        <v>0</v>
      </c>
      <c r="F7" s="29"/>
      <c r="H7" s="53"/>
      <c r="I7" s="42"/>
    </row>
    <row r="8" spans="1:9" ht="15.75" x14ac:dyDescent="0.25">
      <c r="A8" s="5"/>
      <c r="B8" s="26" t="s">
        <v>11</v>
      </c>
      <c r="C8" s="27"/>
      <c r="D8" s="27"/>
      <c r="E8" s="27">
        <f t="shared" ref="E8:E9" si="0">D8*2</f>
        <v>0</v>
      </c>
      <c r="F8" s="27"/>
    </row>
    <row r="9" spans="1:9" ht="16.5" thickBot="1" x14ac:dyDescent="0.3">
      <c r="A9" s="5"/>
      <c r="B9" s="30" t="s">
        <v>12</v>
      </c>
      <c r="C9" s="31"/>
      <c r="D9" s="31"/>
      <c r="E9" s="27">
        <f t="shared" si="0"/>
        <v>0</v>
      </c>
      <c r="F9" s="31"/>
    </row>
    <row r="10" spans="1:9" ht="16.5" thickBot="1" x14ac:dyDescent="0.3">
      <c r="A10" s="4"/>
      <c r="B10" s="32" t="s">
        <v>13</v>
      </c>
      <c r="C10" s="34">
        <f>SUM(C11:C33)</f>
        <v>0</v>
      </c>
      <c r="D10" s="34">
        <f>SUM(D11:D33)</f>
        <v>0</v>
      </c>
      <c r="E10" s="34">
        <f>SUM(E11:E33)</f>
        <v>0</v>
      </c>
      <c r="F10" s="34"/>
    </row>
    <row r="11" spans="1:9" ht="15.75" x14ac:dyDescent="0.25">
      <c r="A11" s="5"/>
      <c r="B11" s="26" t="s">
        <v>14</v>
      </c>
      <c r="C11" s="27"/>
      <c r="D11" s="27"/>
      <c r="E11" s="27">
        <f>D11*2</f>
        <v>0</v>
      </c>
      <c r="F11" s="27"/>
    </row>
    <row r="12" spans="1:9" ht="15.75" x14ac:dyDescent="0.25">
      <c r="A12" s="5"/>
      <c r="B12" s="24" t="s">
        <v>18</v>
      </c>
      <c r="C12" s="25"/>
      <c r="D12" s="25"/>
      <c r="E12" s="27">
        <f t="shared" ref="E12:E36" si="1">D12*2</f>
        <v>0</v>
      </c>
      <c r="F12" s="25"/>
    </row>
    <row r="13" spans="1:9" ht="15.75" x14ac:dyDescent="0.25">
      <c r="A13" s="5"/>
      <c r="B13" s="24" t="s">
        <v>127</v>
      </c>
      <c r="C13" s="25"/>
      <c r="D13" s="25"/>
      <c r="E13" s="27">
        <f t="shared" si="1"/>
        <v>0</v>
      </c>
      <c r="F13" s="25"/>
    </row>
    <row r="14" spans="1:9" ht="23.25" x14ac:dyDescent="0.35">
      <c r="A14" s="5"/>
      <c r="B14" s="24" t="s">
        <v>15</v>
      </c>
      <c r="C14" s="25"/>
      <c r="D14" s="25"/>
      <c r="E14" s="27">
        <f t="shared" si="1"/>
        <v>0</v>
      </c>
      <c r="F14" s="25"/>
      <c r="H14" s="7" t="s">
        <v>53</v>
      </c>
      <c r="I14" s="7">
        <v>0</v>
      </c>
    </row>
    <row r="15" spans="1:9" ht="23.25" x14ac:dyDescent="0.35">
      <c r="A15" s="5"/>
      <c r="B15" s="24" t="s">
        <v>24</v>
      </c>
      <c r="C15" s="25"/>
      <c r="D15" s="25"/>
      <c r="E15" s="27">
        <f t="shared" si="1"/>
        <v>0</v>
      </c>
      <c r="F15" s="25"/>
      <c r="H15" s="50"/>
      <c r="I15" s="50"/>
    </row>
    <row r="16" spans="1:9" ht="15.75" x14ac:dyDescent="0.25">
      <c r="A16" s="5"/>
      <c r="B16" s="24" t="s">
        <v>128</v>
      </c>
      <c r="C16" s="25"/>
      <c r="D16" s="25"/>
      <c r="E16" s="27">
        <f t="shared" si="1"/>
        <v>0</v>
      </c>
      <c r="F16" s="25"/>
    </row>
    <row r="17" spans="1:9" ht="15.75" x14ac:dyDescent="0.25">
      <c r="A17" s="5"/>
      <c r="B17" s="24" t="s">
        <v>129</v>
      </c>
      <c r="C17" s="25"/>
      <c r="D17" s="25"/>
      <c r="E17" s="27">
        <f t="shared" si="1"/>
        <v>0</v>
      </c>
      <c r="F17" s="25"/>
    </row>
    <row r="18" spans="1:9" ht="23.25" x14ac:dyDescent="0.35">
      <c r="A18" s="5"/>
      <c r="B18" s="24" t="s">
        <v>130</v>
      </c>
      <c r="C18" s="25"/>
      <c r="D18" s="25"/>
      <c r="E18" s="27">
        <f t="shared" si="1"/>
        <v>0</v>
      </c>
      <c r="F18" s="25"/>
      <c r="H18" s="7" t="s">
        <v>58</v>
      </c>
      <c r="I18" s="7" t="s">
        <v>59</v>
      </c>
    </row>
    <row r="19" spans="1:9" ht="15.75" x14ac:dyDescent="0.25">
      <c r="A19" s="5"/>
      <c r="B19" s="24" t="s">
        <v>26</v>
      </c>
      <c r="C19" s="25"/>
      <c r="D19" s="25"/>
      <c r="E19" s="27">
        <f t="shared" si="1"/>
        <v>0</v>
      </c>
      <c r="F19" s="25"/>
    </row>
    <row r="20" spans="1:9" ht="15.75" x14ac:dyDescent="0.25">
      <c r="A20" s="5"/>
      <c r="B20" s="24" t="s">
        <v>28</v>
      </c>
      <c r="C20" s="25"/>
      <c r="D20" s="25"/>
      <c r="E20" s="27">
        <f t="shared" si="1"/>
        <v>0</v>
      </c>
      <c r="F20" s="25"/>
    </row>
    <row r="21" spans="1:9" ht="15.75" x14ac:dyDescent="0.25">
      <c r="A21" s="5"/>
      <c r="B21" s="24" t="s">
        <v>29</v>
      </c>
      <c r="C21" s="25"/>
      <c r="D21" s="25"/>
      <c r="E21" s="27">
        <f t="shared" si="1"/>
        <v>0</v>
      </c>
      <c r="F21" s="25"/>
    </row>
    <row r="22" spans="1:9" ht="15.75" x14ac:dyDescent="0.25">
      <c r="A22" s="5"/>
      <c r="B22" s="24" t="s">
        <v>30</v>
      </c>
      <c r="C22" s="25"/>
      <c r="D22" s="25"/>
      <c r="E22" s="27">
        <f t="shared" si="1"/>
        <v>0</v>
      </c>
      <c r="F22" s="25"/>
    </row>
    <row r="23" spans="1:9" ht="15.75" x14ac:dyDescent="0.25">
      <c r="A23" s="5"/>
      <c r="B23" s="24" t="s">
        <v>131</v>
      </c>
      <c r="C23" s="25"/>
      <c r="D23" s="25"/>
      <c r="E23" s="27">
        <f t="shared" si="1"/>
        <v>0</v>
      </c>
      <c r="F23" s="25"/>
    </row>
    <row r="24" spans="1:9" ht="15.75" x14ac:dyDescent="0.25">
      <c r="A24" s="5"/>
      <c r="B24" s="24" t="s">
        <v>132</v>
      </c>
      <c r="C24" s="25"/>
      <c r="D24" s="25"/>
      <c r="E24" s="27">
        <f t="shared" si="1"/>
        <v>0</v>
      </c>
      <c r="F24" s="25"/>
    </row>
    <row r="25" spans="1:9" ht="15.75" x14ac:dyDescent="0.25">
      <c r="A25" s="5"/>
      <c r="B25" s="24" t="s">
        <v>133</v>
      </c>
      <c r="C25" s="25"/>
      <c r="D25" s="25"/>
      <c r="E25" s="27">
        <f t="shared" si="1"/>
        <v>0</v>
      </c>
      <c r="F25" s="25"/>
    </row>
    <row r="26" spans="1:9" ht="15.75" x14ac:dyDescent="0.25">
      <c r="A26" s="5"/>
      <c r="B26" s="24" t="s">
        <v>134</v>
      </c>
      <c r="C26" s="25"/>
      <c r="D26" s="25"/>
      <c r="E26" s="27">
        <f t="shared" si="1"/>
        <v>0</v>
      </c>
      <c r="F26" s="25"/>
    </row>
    <row r="27" spans="1:9" ht="15.75" x14ac:dyDescent="0.25">
      <c r="A27" s="5"/>
      <c r="B27" s="24" t="s">
        <v>33</v>
      </c>
      <c r="C27" s="25"/>
      <c r="D27" s="25"/>
      <c r="E27" s="27">
        <f t="shared" si="1"/>
        <v>0</v>
      </c>
      <c r="F27" s="25"/>
    </row>
    <row r="28" spans="1:9" ht="15.75" x14ac:dyDescent="0.25">
      <c r="A28" s="5"/>
      <c r="B28" s="24" t="s">
        <v>34</v>
      </c>
      <c r="C28" s="25"/>
      <c r="D28" s="25"/>
      <c r="E28" s="27">
        <f t="shared" si="1"/>
        <v>0</v>
      </c>
      <c r="F28" s="25"/>
    </row>
    <row r="29" spans="1:9" ht="15.75" x14ac:dyDescent="0.25">
      <c r="A29" s="5"/>
      <c r="B29" s="24" t="s">
        <v>36</v>
      </c>
      <c r="C29" s="25"/>
      <c r="D29" s="25"/>
      <c r="E29" s="27">
        <f t="shared" si="1"/>
        <v>0</v>
      </c>
      <c r="F29" s="25"/>
    </row>
    <row r="30" spans="1:9" ht="15.75" x14ac:dyDescent="0.25">
      <c r="A30" s="5"/>
      <c r="B30" s="24" t="s">
        <v>37</v>
      </c>
      <c r="C30" s="25"/>
      <c r="D30" s="25"/>
      <c r="E30" s="27">
        <f t="shared" si="1"/>
        <v>0</v>
      </c>
      <c r="F30" s="25"/>
    </row>
    <row r="31" spans="1:9" ht="15.75" x14ac:dyDescent="0.25">
      <c r="A31" s="5"/>
      <c r="B31" s="24" t="s">
        <v>39</v>
      </c>
      <c r="C31" s="25"/>
      <c r="D31" s="25"/>
      <c r="E31" s="27">
        <f t="shared" si="1"/>
        <v>0</v>
      </c>
      <c r="F31" s="25"/>
    </row>
    <row r="32" spans="1:9" ht="15.75" x14ac:dyDescent="0.25">
      <c r="A32" s="5"/>
      <c r="B32" s="24" t="s">
        <v>135</v>
      </c>
      <c r="C32" s="25"/>
      <c r="D32" s="25"/>
      <c r="E32" s="27">
        <f t="shared" si="1"/>
        <v>0</v>
      </c>
      <c r="F32" s="25"/>
    </row>
    <row r="33" spans="1:6" ht="16.5" thickBot="1" x14ac:dyDescent="0.3">
      <c r="A33" s="5"/>
      <c r="B33" s="24" t="s">
        <v>40</v>
      </c>
      <c r="C33" s="25"/>
      <c r="D33" s="25"/>
      <c r="E33" s="27">
        <f t="shared" si="1"/>
        <v>0</v>
      </c>
      <c r="F33" s="25"/>
    </row>
    <row r="34" spans="1:6" ht="16.5" thickBot="1" x14ac:dyDescent="0.3">
      <c r="A34" s="4"/>
      <c r="B34" s="32" t="s">
        <v>41</v>
      </c>
      <c r="C34" s="33">
        <f t="shared" ref="C34:E34" si="2">SUM(C35:C36)</f>
        <v>0</v>
      </c>
      <c r="D34" s="33">
        <f t="shared" si="2"/>
        <v>0</v>
      </c>
      <c r="E34" s="33">
        <f t="shared" si="2"/>
        <v>0</v>
      </c>
      <c r="F34" s="34">
        <f>SUM(F35:F36)</f>
        <v>0</v>
      </c>
    </row>
    <row r="35" spans="1:6" ht="15.75" x14ac:dyDescent="0.25">
      <c r="A35" s="5"/>
      <c r="B35" s="26" t="s">
        <v>42</v>
      </c>
      <c r="C35" s="27"/>
      <c r="D35" s="27"/>
      <c r="E35" s="27">
        <f t="shared" si="1"/>
        <v>0</v>
      </c>
      <c r="F35" s="27"/>
    </row>
    <row r="36" spans="1:6" ht="16.5" thickBot="1" x14ac:dyDescent="0.3">
      <c r="A36" s="5"/>
      <c r="B36" s="30" t="s">
        <v>43</v>
      </c>
      <c r="C36" s="31"/>
      <c r="D36" s="31"/>
      <c r="E36" s="27">
        <f t="shared" si="1"/>
        <v>0</v>
      </c>
      <c r="F36" s="31"/>
    </row>
    <row r="37" spans="1:6" ht="16.5" thickBot="1" x14ac:dyDescent="0.3">
      <c r="A37" s="5"/>
      <c r="B37" s="17" t="s">
        <v>50</v>
      </c>
      <c r="C37" s="18">
        <f>C7+C10+C34</f>
        <v>0</v>
      </c>
      <c r="D37" s="18">
        <f>D7+D10+D34</f>
        <v>0</v>
      </c>
      <c r="E37" s="18">
        <f>E7+E10+E34</f>
        <v>0</v>
      </c>
      <c r="F37" s="18">
        <f>F7+F10+F34</f>
        <v>0</v>
      </c>
    </row>
    <row r="38" spans="1:6" ht="16.5" thickBot="1" x14ac:dyDescent="0.3">
      <c r="A38" s="5"/>
      <c r="B38" s="54" t="s">
        <v>137</v>
      </c>
      <c r="C38" s="55">
        <f>C8+C11+C35</f>
        <v>0</v>
      </c>
      <c r="D38" s="55">
        <f>D8+D11+D35</f>
        <v>0</v>
      </c>
      <c r="E38" s="55">
        <f>E8+E11+E35</f>
        <v>0</v>
      </c>
      <c r="F38" s="55">
        <f>F6-F37</f>
        <v>0</v>
      </c>
    </row>
    <row r="39" spans="1:6" ht="15.75" x14ac:dyDescent="0.25">
      <c r="A39" s="5"/>
      <c r="B39" s="5"/>
      <c r="C39" s="13"/>
      <c r="D39" s="13"/>
      <c r="E39" s="13">
        <f>E37/2</f>
        <v>0</v>
      </c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4"/>
    </row>
    <row r="277" spans="1:6" ht="15.75" x14ac:dyDescent="0.25">
      <c r="A277" s="5"/>
      <c r="B277" s="5"/>
      <c r="C277" s="13"/>
      <c r="D277" s="13"/>
      <c r="E277" s="13"/>
      <c r="F277" s="14"/>
    </row>
    <row r="278" spans="1:6" ht="15.75" x14ac:dyDescent="0.25">
      <c r="A278" s="5"/>
      <c r="B278" s="5"/>
      <c r="C278" s="13"/>
      <c r="D278" s="13"/>
      <c r="E278" s="13"/>
      <c r="F278" s="14"/>
    </row>
    <row r="279" spans="1:6" ht="15.75" x14ac:dyDescent="0.25">
      <c r="A279" s="5"/>
      <c r="B279" s="5"/>
      <c r="C279" s="13"/>
      <c r="D279" s="13"/>
      <c r="E279" s="13"/>
      <c r="F279" s="14"/>
    </row>
    <row r="280" spans="1:6" ht="15.75" x14ac:dyDescent="0.25">
      <c r="A280" s="5"/>
      <c r="B280" s="5"/>
      <c r="C280" s="13"/>
      <c r="D280" s="13"/>
      <c r="E280" s="13"/>
      <c r="F280" s="14"/>
    </row>
    <row r="281" spans="1:6" ht="15.75" x14ac:dyDescent="0.25">
      <c r="A281" s="5"/>
      <c r="B281" s="5"/>
      <c r="C281" s="13"/>
      <c r="D281" s="13"/>
      <c r="E281" s="13"/>
      <c r="F281" s="14"/>
    </row>
    <row r="282" spans="1:6" ht="15.75" x14ac:dyDescent="0.25">
      <c r="A282" s="5"/>
      <c r="B282" s="5"/>
      <c r="C282" s="13"/>
      <c r="D282" s="13"/>
      <c r="E282" s="13"/>
      <c r="F282" s="14"/>
    </row>
    <row r="283" spans="1:6" ht="15.75" x14ac:dyDescent="0.25">
      <c r="A283" s="5"/>
      <c r="B283" s="5"/>
      <c r="C283" s="13"/>
      <c r="D283" s="13"/>
      <c r="E283" s="13"/>
      <c r="F283" s="14"/>
    </row>
    <row r="284" spans="1:6" ht="15.75" x14ac:dyDescent="0.25">
      <c r="A284" s="5"/>
      <c r="B284" s="5"/>
      <c r="C284" s="13"/>
      <c r="D284" s="13"/>
      <c r="E284" s="13"/>
      <c r="F284" s="14"/>
    </row>
    <row r="285" spans="1:6" ht="15.75" x14ac:dyDescent="0.25">
      <c r="A285" s="5"/>
      <c r="B285" s="5"/>
      <c r="C285" s="13"/>
      <c r="D285" s="13"/>
      <c r="E285" s="13"/>
      <c r="F285" s="14"/>
    </row>
    <row r="286" spans="1:6" ht="15.75" x14ac:dyDescent="0.25">
      <c r="A286" s="5"/>
      <c r="B286" s="5"/>
      <c r="C286" s="13"/>
      <c r="D286" s="13"/>
      <c r="E286" s="13"/>
      <c r="F286" s="14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  <row r="567" spans="1:6" ht="15.75" x14ac:dyDescent="0.25">
      <c r="A567" s="5"/>
      <c r="B567" s="5"/>
      <c r="C567" s="13"/>
      <c r="D567" s="13"/>
      <c r="E567" s="13"/>
      <c r="F567" s="13"/>
    </row>
    <row r="568" spans="1:6" ht="15.75" x14ac:dyDescent="0.25">
      <c r="A568" s="5"/>
      <c r="B568" s="5"/>
      <c r="C568" s="13"/>
      <c r="D568" s="13"/>
      <c r="E568" s="13"/>
      <c r="F568" s="13"/>
    </row>
    <row r="569" spans="1:6" ht="15.75" x14ac:dyDescent="0.25">
      <c r="A569" s="5"/>
      <c r="B569" s="5"/>
      <c r="C569" s="13"/>
      <c r="D569" s="13"/>
      <c r="E569" s="13"/>
      <c r="F569" s="13"/>
    </row>
    <row r="570" spans="1:6" ht="15.75" x14ac:dyDescent="0.25">
      <c r="A570" s="5"/>
      <c r="B570" s="5"/>
      <c r="C570" s="13"/>
      <c r="D570" s="13"/>
      <c r="E570" s="13"/>
      <c r="F570" s="13"/>
    </row>
    <row r="571" spans="1:6" ht="15.75" x14ac:dyDescent="0.25">
      <c r="A571" s="5"/>
      <c r="B571" s="5"/>
      <c r="C571" s="13"/>
      <c r="D571" s="13"/>
      <c r="E571" s="13"/>
      <c r="F571" s="13"/>
    </row>
    <row r="572" spans="1:6" ht="15.75" x14ac:dyDescent="0.25">
      <c r="A572" s="5"/>
      <c r="B572" s="5"/>
      <c r="C572" s="13"/>
      <c r="D572" s="13"/>
      <c r="E572" s="13"/>
      <c r="F572" s="13"/>
    </row>
    <row r="573" spans="1:6" ht="15.75" x14ac:dyDescent="0.25">
      <c r="A573" s="5"/>
      <c r="B573" s="5"/>
      <c r="C573" s="13"/>
      <c r="D573" s="13"/>
      <c r="E573" s="13"/>
      <c r="F573" s="13"/>
    </row>
    <row r="574" spans="1:6" ht="15.75" x14ac:dyDescent="0.25">
      <c r="A574" s="5"/>
      <c r="B574" s="5"/>
      <c r="C574" s="13"/>
      <c r="D574" s="13"/>
      <c r="E574" s="13"/>
      <c r="F574" s="13"/>
    </row>
    <row r="575" spans="1:6" ht="15.75" x14ac:dyDescent="0.25">
      <c r="A575" s="5"/>
      <c r="B575" s="5"/>
      <c r="C575" s="13"/>
      <c r="D575" s="13"/>
      <c r="E575" s="13"/>
      <c r="F575" s="13"/>
    </row>
    <row r="576" spans="1:6" ht="15.75" x14ac:dyDescent="0.25">
      <c r="A576" s="5"/>
      <c r="B576" s="5"/>
      <c r="C576" s="13"/>
      <c r="D576" s="13"/>
      <c r="E576" s="13"/>
      <c r="F576" s="13"/>
    </row>
    <row r="577" spans="1:6" ht="15.75" x14ac:dyDescent="0.25">
      <c r="A577" s="5"/>
      <c r="B577" s="5"/>
      <c r="C577" s="13"/>
      <c r="D577" s="13"/>
      <c r="E577" s="13"/>
      <c r="F577" s="13"/>
    </row>
  </sheetData>
  <autoFilter ref="B5:F37" xr:uid="{64F5ABAA-8D38-4E3D-AADC-78C7344CE7D1}"/>
  <pageMargins left="0.7" right="0.7" top="0.75" bottom="0.75" header="0.3" footer="0.3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3EF5-518D-49E5-BFAC-B55A75865185}">
  <dimension ref="A1:G35"/>
  <sheetViews>
    <sheetView topLeftCell="A10" workbookViewId="0">
      <selection activeCell="D39" sqref="D39:D40"/>
    </sheetView>
  </sheetViews>
  <sheetFormatPr defaultColWidth="9.140625" defaultRowHeight="15" x14ac:dyDescent="0.25"/>
  <cols>
    <col min="1" max="1" width="2.28515625" style="84" customWidth="1"/>
    <col min="2" max="2" width="26.140625" style="84" customWidth="1"/>
    <col min="3" max="3" width="14.28515625" style="84" customWidth="1"/>
    <col min="4" max="4" width="16.85546875" style="84" customWidth="1"/>
    <col min="5" max="6" width="9.140625" style="84"/>
    <col min="7" max="7" width="11.42578125" style="84" customWidth="1"/>
    <col min="8" max="16384" width="9.140625" style="84"/>
  </cols>
  <sheetData>
    <row r="1" spans="1:7" x14ac:dyDescent="0.25">
      <c r="C1" s="85"/>
    </row>
    <row r="2" spans="1:7" ht="26.25" x14ac:dyDescent="0.4">
      <c r="A2" s="86"/>
      <c r="B2" s="86"/>
      <c r="C2" s="87" t="s">
        <v>0</v>
      </c>
      <c r="D2" s="87"/>
      <c r="E2" s="87"/>
      <c r="F2" s="87"/>
      <c r="G2" s="86"/>
    </row>
    <row r="3" spans="1:7" ht="31.5" x14ac:dyDescent="0.5">
      <c r="A3" s="88"/>
      <c r="B3" s="88"/>
      <c r="C3" s="280" t="s">
        <v>1</v>
      </c>
      <c r="D3" s="280"/>
      <c r="E3" s="280"/>
      <c r="F3" s="280"/>
      <c r="G3" s="280"/>
    </row>
    <row r="6" spans="1:7" ht="18.75" x14ac:dyDescent="0.3">
      <c r="B6" s="89" t="s">
        <v>207</v>
      </c>
    </row>
    <row r="8" spans="1:7" ht="18.75" x14ac:dyDescent="0.3">
      <c r="B8" s="90"/>
      <c r="C8" s="91" t="s">
        <v>208</v>
      </c>
      <c r="D8" s="91" t="s">
        <v>208</v>
      </c>
    </row>
    <row r="9" spans="1:7" ht="18.75" x14ac:dyDescent="0.3">
      <c r="B9" s="89" t="s">
        <v>52</v>
      </c>
      <c r="C9" s="91" t="s">
        <v>209</v>
      </c>
      <c r="D9" s="91" t="s">
        <v>210</v>
      </c>
    </row>
    <row r="10" spans="1:7" x14ac:dyDescent="0.25">
      <c r="B10" s="92" t="s">
        <v>211</v>
      </c>
      <c r="C10" s="93">
        <v>4.5</v>
      </c>
      <c r="D10" s="93">
        <v>4.5</v>
      </c>
    </row>
    <row r="11" spans="1:7" x14ac:dyDescent="0.25">
      <c r="B11" s="84" t="s">
        <v>146</v>
      </c>
      <c r="C11" s="94">
        <v>16.899999999999999</v>
      </c>
      <c r="D11" s="94">
        <v>16.399999999999999</v>
      </c>
    </row>
    <row r="12" spans="1:7" x14ac:dyDescent="0.25">
      <c r="B12" s="92" t="s">
        <v>182</v>
      </c>
      <c r="C12" s="93">
        <v>10.050000000000001</v>
      </c>
      <c r="D12" s="93">
        <v>12.5</v>
      </c>
    </row>
    <row r="13" spans="1:7" x14ac:dyDescent="0.25">
      <c r="B13" s="84" t="s">
        <v>212</v>
      </c>
      <c r="C13" s="94">
        <v>2</v>
      </c>
      <c r="D13" s="94">
        <v>2</v>
      </c>
    </row>
    <row r="14" spans="1:7" x14ac:dyDescent="0.25">
      <c r="B14" s="92" t="s">
        <v>213</v>
      </c>
      <c r="C14" s="93">
        <v>3.5</v>
      </c>
      <c r="D14" s="93">
        <v>3.5</v>
      </c>
    </row>
    <row r="15" spans="1:7" x14ac:dyDescent="0.25">
      <c r="B15" s="84" t="s">
        <v>214</v>
      </c>
      <c r="C15" s="94">
        <v>1</v>
      </c>
      <c r="D15" s="94">
        <v>1</v>
      </c>
    </row>
    <row r="16" spans="1:7" x14ac:dyDescent="0.25">
      <c r="B16" s="92" t="s">
        <v>215</v>
      </c>
      <c r="C16" s="93">
        <v>2.15</v>
      </c>
      <c r="D16" s="93">
        <v>2.15</v>
      </c>
    </row>
    <row r="17" spans="2:4" x14ac:dyDescent="0.25">
      <c r="B17" s="84" t="s">
        <v>216</v>
      </c>
      <c r="C17" s="94">
        <v>0.88</v>
      </c>
      <c r="D17" s="94">
        <v>0.88</v>
      </c>
    </row>
    <row r="18" spans="2:4" x14ac:dyDescent="0.25">
      <c r="B18" s="84" t="s">
        <v>217</v>
      </c>
      <c r="C18" s="94">
        <v>16.5</v>
      </c>
      <c r="D18" s="94">
        <v>18.5</v>
      </c>
    </row>
    <row r="19" spans="2:4" x14ac:dyDescent="0.25">
      <c r="B19" s="92" t="s">
        <v>218</v>
      </c>
      <c r="C19" s="93">
        <v>9.5</v>
      </c>
      <c r="D19" s="93">
        <v>9</v>
      </c>
    </row>
    <row r="20" spans="2:4" x14ac:dyDescent="0.25">
      <c r="B20" s="84" t="s">
        <v>219</v>
      </c>
      <c r="C20" s="94">
        <v>13.25</v>
      </c>
      <c r="D20" s="94">
        <v>12.25</v>
      </c>
    </row>
    <row r="21" spans="2:4" x14ac:dyDescent="0.25">
      <c r="B21" s="92" t="s">
        <v>220</v>
      </c>
      <c r="C21" s="93">
        <v>0.75</v>
      </c>
      <c r="D21" s="93">
        <v>1</v>
      </c>
    </row>
    <row r="22" spans="2:4" x14ac:dyDescent="0.25">
      <c r="B22" s="84" t="s">
        <v>221</v>
      </c>
      <c r="C22" s="94">
        <v>0.5</v>
      </c>
      <c r="D22" s="94">
        <v>0.75</v>
      </c>
    </row>
    <row r="23" spans="2:4" x14ac:dyDescent="0.25">
      <c r="B23" s="92" t="s">
        <v>222</v>
      </c>
      <c r="C23" s="93">
        <v>1.5</v>
      </c>
      <c r="D23" s="93">
        <v>1.5</v>
      </c>
    </row>
    <row r="24" spans="2:4" x14ac:dyDescent="0.25">
      <c r="B24" s="84" t="s">
        <v>223</v>
      </c>
      <c r="C24" s="94">
        <v>3</v>
      </c>
      <c r="D24" s="94">
        <v>3</v>
      </c>
    </row>
    <row r="25" spans="2:4" x14ac:dyDescent="0.25">
      <c r="B25" s="92" t="s">
        <v>224</v>
      </c>
      <c r="C25" s="93">
        <v>2</v>
      </c>
      <c r="D25" s="93">
        <v>2</v>
      </c>
    </row>
    <row r="26" spans="2:4" x14ac:dyDescent="0.25">
      <c r="B26" s="84" t="s">
        <v>225</v>
      </c>
      <c r="C26" s="94">
        <v>8</v>
      </c>
      <c r="D26" s="94">
        <v>8</v>
      </c>
    </row>
    <row r="27" spans="2:4" x14ac:dyDescent="0.25">
      <c r="B27" s="92" t="s">
        <v>6</v>
      </c>
      <c r="C27" s="93">
        <v>1.5</v>
      </c>
      <c r="D27" s="93">
        <v>2</v>
      </c>
    </row>
    <row r="28" spans="2:4" x14ac:dyDescent="0.25">
      <c r="B28" s="84" t="s">
        <v>226</v>
      </c>
      <c r="C28" s="94">
        <v>2</v>
      </c>
      <c r="D28" s="94">
        <v>2</v>
      </c>
    </row>
    <row r="29" spans="2:4" x14ac:dyDescent="0.25">
      <c r="B29" s="92" t="s">
        <v>227</v>
      </c>
      <c r="C29" s="93">
        <v>1</v>
      </c>
      <c r="D29" s="93">
        <v>1</v>
      </c>
    </row>
    <row r="30" spans="2:4" x14ac:dyDescent="0.25">
      <c r="B30" s="84" t="s">
        <v>228</v>
      </c>
      <c r="C30" s="94">
        <v>1</v>
      </c>
      <c r="D30" s="94">
        <v>1</v>
      </c>
    </row>
    <row r="31" spans="2:4" x14ac:dyDescent="0.25">
      <c r="B31" s="92" t="s">
        <v>229</v>
      </c>
      <c r="C31" s="93">
        <v>2</v>
      </c>
      <c r="D31" s="93">
        <v>1</v>
      </c>
    </row>
    <row r="32" spans="2:4" x14ac:dyDescent="0.25">
      <c r="B32" s="84" t="s">
        <v>230</v>
      </c>
      <c r="C32" s="94">
        <v>1.25</v>
      </c>
      <c r="D32" s="94">
        <v>2</v>
      </c>
    </row>
    <row r="33" spans="2:4" x14ac:dyDescent="0.25">
      <c r="B33" s="92" t="s">
        <v>231</v>
      </c>
      <c r="C33" s="93">
        <v>0.5</v>
      </c>
      <c r="D33" s="93">
        <v>0.5</v>
      </c>
    </row>
    <row r="34" spans="2:4" x14ac:dyDescent="0.25">
      <c r="B34" s="84" t="s">
        <v>232</v>
      </c>
      <c r="C34" s="95">
        <v>6</v>
      </c>
      <c r="D34" s="95">
        <v>5.5</v>
      </c>
    </row>
    <row r="35" spans="2:4" x14ac:dyDescent="0.25">
      <c r="C35" s="96">
        <f>SUM(C10:C34)</f>
        <v>111.23</v>
      </c>
      <c r="D35" s="96">
        <f>SUM(D10:D34)</f>
        <v>113.93</v>
      </c>
    </row>
  </sheetData>
  <mergeCells count="1">
    <mergeCell ref="C3:G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7BF1-4533-43AF-86D2-A371D6376098}">
  <dimension ref="A2:F29"/>
  <sheetViews>
    <sheetView workbookViewId="0">
      <selection activeCell="C24" sqref="C24"/>
    </sheetView>
  </sheetViews>
  <sheetFormatPr defaultRowHeight="15" x14ac:dyDescent="0.25"/>
  <cols>
    <col min="1" max="1" width="48.5703125" customWidth="1"/>
    <col min="2" max="2" width="10.140625" style="6" bestFit="1" customWidth="1"/>
    <col min="3" max="4" width="32.85546875" style="6" customWidth="1"/>
    <col min="5" max="5" width="24" bestFit="1" customWidth="1"/>
    <col min="6" max="6" width="13.5703125" style="63" customWidth="1"/>
  </cols>
  <sheetData>
    <row r="2" spans="1:6" x14ac:dyDescent="0.25">
      <c r="C2" s="62"/>
    </row>
    <row r="3" spans="1:6" ht="18" x14ac:dyDescent="0.25">
      <c r="A3" s="64" t="s">
        <v>191</v>
      </c>
      <c r="B3" s="65"/>
      <c r="C3" s="66"/>
      <c r="D3" s="65"/>
    </row>
    <row r="4" spans="1:6" ht="18" x14ac:dyDescent="0.25">
      <c r="A4" s="64" t="s">
        <v>192</v>
      </c>
      <c r="B4" s="65"/>
      <c r="C4" s="66"/>
      <c r="D4" s="65"/>
    </row>
    <row r="5" spans="1:6" x14ac:dyDescent="0.25">
      <c r="C5" s="67" t="s">
        <v>193</v>
      </c>
      <c r="D5" s="48"/>
      <c r="E5" s="49" t="s">
        <v>194</v>
      </c>
      <c r="F5" s="68" t="s">
        <v>195</v>
      </c>
    </row>
    <row r="6" spans="1:6" ht="18" x14ac:dyDescent="0.25">
      <c r="A6" s="69" t="s">
        <v>166</v>
      </c>
      <c r="C6" s="70"/>
      <c r="D6" s="70"/>
    </row>
    <row r="7" spans="1:6" x14ac:dyDescent="0.25">
      <c r="A7" s="71" t="s">
        <v>163</v>
      </c>
      <c r="C7" s="72" t="s">
        <v>196</v>
      </c>
      <c r="D7" s="72" t="s">
        <v>197</v>
      </c>
      <c r="E7" s="73"/>
      <c r="F7" s="74"/>
    </row>
    <row r="8" spans="1:6" ht="18" x14ac:dyDescent="0.25">
      <c r="A8" s="69" t="s">
        <v>73</v>
      </c>
      <c r="C8" s="70"/>
      <c r="D8" s="70"/>
    </row>
    <row r="9" spans="1:6" x14ac:dyDescent="0.25">
      <c r="A9" s="49" t="s">
        <v>74</v>
      </c>
      <c r="C9" s="70">
        <v>39077.69</v>
      </c>
      <c r="D9" s="70"/>
      <c r="E9">
        <v>10</v>
      </c>
      <c r="F9" s="63">
        <f>C9/E9</f>
        <v>3907.7690000000002</v>
      </c>
    </row>
    <row r="10" spans="1:6" x14ac:dyDescent="0.25">
      <c r="A10" s="49" t="s">
        <v>75</v>
      </c>
      <c r="C10" s="75">
        <v>24065</v>
      </c>
      <c r="D10" s="76" t="s">
        <v>197</v>
      </c>
      <c r="E10" s="73">
        <v>10</v>
      </c>
      <c r="F10" s="63">
        <f>C10/E10</f>
        <v>2406.5</v>
      </c>
    </row>
    <row r="11" spans="1:6" ht="18" x14ac:dyDescent="0.25">
      <c r="A11" s="69" t="s">
        <v>198</v>
      </c>
      <c r="C11" s="70"/>
      <c r="D11" s="70"/>
    </row>
    <row r="12" spans="1:6" x14ac:dyDescent="0.25">
      <c r="A12" s="49" t="s">
        <v>183</v>
      </c>
      <c r="C12" s="70">
        <v>12296</v>
      </c>
      <c r="D12" s="70"/>
      <c r="E12">
        <v>7</v>
      </c>
      <c r="F12" s="63">
        <f>C12/E12</f>
        <v>1756.5714285714287</v>
      </c>
    </row>
    <row r="13" spans="1:6" x14ac:dyDescent="0.25">
      <c r="A13" s="49" t="s">
        <v>184</v>
      </c>
      <c r="C13" s="70">
        <v>19763</v>
      </c>
      <c r="D13" s="70"/>
      <c r="E13">
        <v>5</v>
      </c>
      <c r="F13" s="63">
        <f>C13/E13</f>
        <v>3952.6</v>
      </c>
    </row>
    <row r="14" spans="1:6" ht="18" x14ac:dyDescent="0.25">
      <c r="A14" s="69" t="s">
        <v>143</v>
      </c>
      <c r="C14" s="70"/>
      <c r="D14" s="70"/>
    </row>
    <row r="15" spans="1:6" x14ac:dyDescent="0.25">
      <c r="A15" s="49" t="s">
        <v>138</v>
      </c>
      <c r="C15" s="70">
        <v>11075</v>
      </c>
      <c r="D15" s="70"/>
      <c r="E15">
        <v>12</v>
      </c>
      <c r="F15" s="63">
        <f>C15/E15</f>
        <v>922.91666666666663</v>
      </c>
    </row>
    <row r="16" spans="1:6" ht="18" x14ac:dyDescent="0.25">
      <c r="A16" s="69" t="s">
        <v>199</v>
      </c>
      <c r="C16" s="70"/>
      <c r="D16" s="70"/>
    </row>
    <row r="17" spans="1:6" x14ac:dyDescent="0.25">
      <c r="A17" s="49" t="s">
        <v>200</v>
      </c>
      <c r="C17" s="75">
        <v>30000</v>
      </c>
      <c r="D17" s="75"/>
      <c r="E17" s="77"/>
      <c r="F17" s="78"/>
    </row>
    <row r="18" spans="1:6" x14ac:dyDescent="0.25">
      <c r="A18" s="49" t="s">
        <v>201</v>
      </c>
      <c r="C18" s="70">
        <v>6000</v>
      </c>
      <c r="D18" s="70"/>
      <c r="E18">
        <v>15</v>
      </c>
      <c r="F18" s="63">
        <f>C18/E18</f>
        <v>400</v>
      </c>
    </row>
    <row r="19" spans="1:6" ht="18" x14ac:dyDescent="0.25">
      <c r="A19" s="69" t="s">
        <v>202</v>
      </c>
      <c r="C19" s="70"/>
      <c r="D19" s="70"/>
    </row>
    <row r="20" spans="1:6" x14ac:dyDescent="0.25">
      <c r="A20" s="49" t="s">
        <v>87</v>
      </c>
      <c r="C20" s="70">
        <v>48844</v>
      </c>
      <c r="D20" s="70"/>
      <c r="E20">
        <v>15</v>
      </c>
      <c r="F20" s="63">
        <f>C20/E20</f>
        <v>3256.2666666666669</v>
      </c>
    </row>
    <row r="21" spans="1:6" ht="18" x14ac:dyDescent="0.25">
      <c r="A21" s="69" t="s">
        <v>203</v>
      </c>
      <c r="C21" s="70"/>
      <c r="D21" s="70"/>
    </row>
    <row r="22" spans="1:6" x14ac:dyDescent="0.25">
      <c r="A22" s="49" t="s">
        <v>204</v>
      </c>
      <c r="C22" s="70">
        <v>20000</v>
      </c>
      <c r="D22" s="70"/>
      <c r="E22">
        <v>30</v>
      </c>
      <c r="F22" s="63">
        <f>C22/E22</f>
        <v>666.66666666666663</v>
      </c>
    </row>
    <row r="23" spans="1:6" x14ac:dyDescent="0.25">
      <c r="A23" s="49" t="s">
        <v>205</v>
      </c>
      <c r="C23" s="70">
        <v>10000</v>
      </c>
      <c r="D23" s="70"/>
      <c r="E23">
        <v>5</v>
      </c>
      <c r="F23" s="63">
        <f>C23/E23</f>
        <v>2000</v>
      </c>
    </row>
    <row r="24" spans="1:6" x14ac:dyDescent="0.25">
      <c r="A24" s="49"/>
      <c r="C24" s="70"/>
      <c r="D24" s="70"/>
    </row>
    <row r="25" spans="1:6" ht="18" x14ac:dyDescent="0.25">
      <c r="A25" s="79" t="s">
        <v>206</v>
      </c>
      <c r="B25" s="80"/>
      <c r="C25" s="81">
        <f>SUM(C6:C23)</f>
        <v>221120.69</v>
      </c>
      <c r="D25" s="81"/>
      <c r="E25" s="82"/>
      <c r="F25" s="83">
        <f>SUM(F6:F23)</f>
        <v>19269.290428571428</v>
      </c>
    </row>
    <row r="27" spans="1:6" x14ac:dyDescent="0.25">
      <c r="E27" s="6"/>
    </row>
    <row r="28" spans="1:6" x14ac:dyDescent="0.25">
      <c r="E28" s="6"/>
    </row>
    <row r="29" spans="1:6" x14ac:dyDescent="0.25">
      <c r="E2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4A3B-759D-4B8F-A85B-38297DA73D45}">
  <sheetPr>
    <pageSetUpPr fitToPage="1"/>
  </sheetPr>
  <dimension ref="A2:I569"/>
  <sheetViews>
    <sheetView topLeftCell="A4" workbookViewId="0">
      <selection activeCell="M17" sqref="M17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35.5703125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190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1775000</v>
      </c>
      <c r="D6" s="52">
        <v>932392.5</v>
      </c>
      <c r="E6" s="52">
        <v>1864785</v>
      </c>
      <c r="F6" s="52">
        <v>1864637.16</v>
      </c>
    </row>
    <row r="7" spans="1:9" ht="16.5" thickBot="1" x14ac:dyDescent="0.3">
      <c r="A7" s="4"/>
      <c r="B7" s="28" t="s">
        <v>10</v>
      </c>
      <c r="C7" s="29">
        <f>SUM(C8:C9)</f>
        <v>2271472.0001671254</v>
      </c>
      <c r="D7" s="29">
        <f>SUM(D8:D9)</f>
        <v>780901.17999999993</v>
      </c>
      <c r="E7" s="29">
        <f>SUM(E8:E9)</f>
        <v>1561802.3599999999</v>
      </c>
      <c r="F7" s="29">
        <f>SUM(F8:F9)</f>
        <v>2706321.9751314213</v>
      </c>
      <c r="H7" s="53"/>
      <c r="I7" s="42"/>
    </row>
    <row r="8" spans="1:9" ht="15.75" x14ac:dyDescent="0.25">
      <c r="A8" s="5"/>
      <c r="B8" s="26" t="s">
        <v>11</v>
      </c>
      <c r="C8" s="27">
        <v>1737252.5502406668</v>
      </c>
      <c r="D8" s="27">
        <v>579429.69999999995</v>
      </c>
      <c r="E8" s="27">
        <v>1158859.3999999999</v>
      </c>
      <c r="F8" s="27">
        <v>2104470.1977802725</v>
      </c>
    </row>
    <row r="9" spans="1:9" ht="16.5" thickBot="1" x14ac:dyDescent="0.3">
      <c r="A9" s="5"/>
      <c r="B9" s="30" t="s">
        <v>12</v>
      </c>
      <c r="C9" s="31">
        <v>534219.44992645865</v>
      </c>
      <c r="D9" s="31">
        <v>201471.47999999998</v>
      </c>
      <c r="E9" s="27">
        <v>402942.95999999996</v>
      </c>
      <c r="F9" s="31">
        <v>601851.77735114866</v>
      </c>
    </row>
    <row r="10" spans="1:9" ht="16.5" thickBot="1" x14ac:dyDescent="0.3">
      <c r="A10" s="4"/>
      <c r="B10" s="32" t="s">
        <v>13</v>
      </c>
      <c r="C10" s="34">
        <f>SUM(C11:C25)</f>
        <v>229750</v>
      </c>
      <c r="D10" s="34">
        <f>SUM(D11:D25)</f>
        <v>391584.05</v>
      </c>
      <c r="E10" s="34">
        <f>SUM(E11:E25)</f>
        <v>781333.24</v>
      </c>
      <c r="F10" s="34">
        <f>SUM(F11:F25)</f>
        <v>348150</v>
      </c>
    </row>
    <row r="11" spans="1:9" ht="23.25" x14ac:dyDescent="0.35">
      <c r="A11" s="5"/>
      <c r="B11" s="26" t="s">
        <v>14</v>
      </c>
      <c r="C11" s="27">
        <v>1750</v>
      </c>
      <c r="D11" s="27"/>
      <c r="E11" s="27">
        <f>D11*2</f>
        <v>0</v>
      </c>
      <c r="F11" s="27">
        <v>1750</v>
      </c>
      <c r="H11" s="7" t="s">
        <v>53</v>
      </c>
      <c r="I11" s="7">
        <v>18.5</v>
      </c>
    </row>
    <row r="12" spans="1:9" ht="23.25" x14ac:dyDescent="0.35">
      <c r="A12" s="5"/>
      <c r="B12" s="24" t="s">
        <v>18</v>
      </c>
      <c r="C12" s="25">
        <v>10000</v>
      </c>
      <c r="D12" s="25">
        <v>4673.3999999999996</v>
      </c>
      <c r="E12" s="27">
        <f t="shared" ref="E12:E28" si="0">D12*2</f>
        <v>9346.7999999999993</v>
      </c>
      <c r="F12" s="25">
        <v>10000</v>
      </c>
      <c r="G12" s="49" t="s">
        <v>187</v>
      </c>
      <c r="H12" s="7" t="s">
        <v>58</v>
      </c>
      <c r="I12" s="7" t="s">
        <v>59</v>
      </c>
    </row>
    <row r="13" spans="1:9" ht="15.75" x14ac:dyDescent="0.25">
      <c r="A13" s="5"/>
      <c r="B13" s="24" t="s">
        <v>24</v>
      </c>
      <c r="C13" s="25">
        <v>300</v>
      </c>
      <c r="D13" s="25"/>
      <c r="E13" s="27">
        <f t="shared" si="0"/>
        <v>0</v>
      </c>
      <c r="F13" s="25">
        <v>300</v>
      </c>
    </row>
    <row r="14" spans="1:9" ht="15.75" x14ac:dyDescent="0.25">
      <c r="A14" s="5"/>
      <c r="B14" s="61" t="s">
        <v>186</v>
      </c>
      <c r="C14" s="25"/>
      <c r="D14" s="25">
        <v>917.43</v>
      </c>
      <c r="E14" s="27"/>
      <c r="F14" s="25"/>
    </row>
    <row r="15" spans="1:9" ht="15.75" x14ac:dyDescent="0.25">
      <c r="A15" s="5"/>
      <c r="B15" s="24" t="s">
        <v>26</v>
      </c>
      <c r="C15" s="25">
        <v>12000</v>
      </c>
      <c r="D15" s="25">
        <v>7506.86</v>
      </c>
      <c r="E15" s="27">
        <f t="shared" si="0"/>
        <v>15013.72</v>
      </c>
      <c r="F15" s="25">
        <v>15000</v>
      </c>
    </row>
    <row r="16" spans="1:9" ht="15.75" x14ac:dyDescent="0.25">
      <c r="A16" s="5"/>
      <c r="B16" s="24" t="s">
        <v>28</v>
      </c>
      <c r="C16" s="25">
        <v>7300</v>
      </c>
      <c r="D16" s="25">
        <v>2415.13</v>
      </c>
      <c r="E16" s="27">
        <f t="shared" si="0"/>
        <v>4830.26</v>
      </c>
      <c r="F16" s="25">
        <v>6000</v>
      </c>
    </row>
    <row r="17" spans="1:7" ht="15.75" x14ac:dyDescent="0.25">
      <c r="A17" s="5"/>
      <c r="B17" s="24" t="s">
        <v>29</v>
      </c>
      <c r="C17" s="25">
        <v>2500</v>
      </c>
      <c r="D17" s="25">
        <v>1951.91</v>
      </c>
      <c r="E17" s="27">
        <f t="shared" si="0"/>
        <v>3903.82</v>
      </c>
      <c r="F17" s="25">
        <v>4000</v>
      </c>
    </row>
    <row r="18" spans="1:7" ht="15.75" x14ac:dyDescent="0.25">
      <c r="A18" s="5"/>
      <c r="B18" s="24" t="s">
        <v>30</v>
      </c>
      <c r="C18" s="25">
        <v>6000</v>
      </c>
      <c r="D18" s="25">
        <v>2198.4499999999998</v>
      </c>
      <c r="E18" s="27">
        <f t="shared" si="0"/>
        <v>4396.8999999999996</v>
      </c>
      <c r="F18" s="25">
        <v>6000</v>
      </c>
    </row>
    <row r="19" spans="1:7" ht="15.75" x14ac:dyDescent="0.25">
      <c r="A19" s="5"/>
      <c r="B19" s="24" t="s">
        <v>131</v>
      </c>
      <c r="C19" s="25">
        <v>4000</v>
      </c>
      <c r="D19" s="25">
        <v>1955.71</v>
      </c>
      <c r="E19" s="27">
        <f t="shared" si="0"/>
        <v>3911.42</v>
      </c>
      <c r="F19" s="25">
        <v>4000</v>
      </c>
    </row>
    <row r="20" spans="1:7" ht="15.75" x14ac:dyDescent="0.25">
      <c r="A20" s="5"/>
      <c r="B20" s="24" t="s">
        <v>134</v>
      </c>
      <c r="C20" s="25">
        <v>150000</v>
      </c>
      <c r="D20" s="25">
        <v>38371.24</v>
      </c>
      <c r="E20" s="27">
        <f t="shared" si="0"/>
        <v>76742.48</v>
      </c>
      <c r="F20" s="25">
        <v>80000</v>
      </c>
    </row>
    <row r="21" spans="1:7" ht="15.75" x14ac:dyDescent="0.25">
      <c r="A21" s="5"/>
      <c r="B21" s="24" t="s">
        <v>33</v>
      </c>
      <c r="C21" s="25">
        <v>400</v>
      </c>
      <c r="D21" s="25">
        <v>163.30000000000001</v>
      </c>
      <c r="E21" s="27">
        <f t="shared" si="0"/>
        <v>326.60000000000002</v>
      </c>
      <c r="F21" s="25">
        <v>400</v>
      </c>
    </row>
    <row r="22" spans="1:7" ht="15.75" x14ac:dyDescent="0.25">
      <c r="A22" s="5"/>
      <c r="B22" s="24" t="s">
        <v>34</v>
      </c>
      <c r="C22" s="25">
        <v>0</v>
      </c>
      <c r="D22" s="25">
        <v>310375.78000000003</v>
      </c>
      <c r="E22" s="27">
        <f t="shared" si="0"/>
        <v>620751.56000000006</v>
      </c>
      <c r="F22" s="25">
        <v>180000</v>
      </c>
      <c r="G22" t="s">
        <v>188</v>
      </c>
    </row>
    <row r="23" spans="1:7" ht="15.75" x14ac:dyDescent="0.25">
      <c r="A23" s="5"/>
      <c r="B23" s="24" t="s">
        <v>36</v>
      </c>
      <c r="C23" s="25">
        <v>5000</v>
      </c>
      <c r="D23" s="25">
        <v>2581.62</v>
      </c>
      <c r="E23" s="27">
        <f t="shared" si="0"/>
        <v>5163.24</v>
      </c>
      <c r="F23" s="25">
        <v>5000</v>
      </c>
    </row>
    <row r="24" spans="1:7" ht="15.75" x14ac:dyDescent="0.25">
      <c r="A24" s="5"/>
      <c r="B24" s="24" t="s">
        <v>37</v>
      </c>
      <c r="C24" s="25">
        <v>30000</v>
      </c>
      <c r="D24" s="25">
        <v>18155.099999999999</v>
      </c>
      <c r="E24" s="27">
        <f t="shared" si="0"/>
        <v>36310.199999999997</v>
      </c>
      <c r="F24" s="25">
        <v>35000</v>
      </c>
      <c r="G24" t="s">
        <v>189</v>
      </c>
    </row>
    <row r="25" spans="1:7" ht="16.5" thickBot="1" x14ac:dyDescent="0.3">
      <c r="A25" s="5"/>
      <c r="B25" s="24" t="s">
        <v>135</v>
      </c>
      <c r="C25" s="25">
        <v>500</v>
      </c>
      <c r="D25" s="25">
        <v>318.12</v>
      </c>
      <c r="E25" s="27">
        <f t="shared" si="0"/>
        <v>636.24</v>
      </c>
      <c r="F25" s="25">
        <v>700</v>
      </c>
    </row>
    <row r="26" spans="1:7" ht="16.5" thickBot="1" x14ac:dyDescent="0.3">
      <c r="A26" s="4"/>
      <c r="B26" s="32" t="s">
        <v>41</v>
      </c>
      <c r="C26" s="34">
        <v>30000</v>
      </c>
      <c r="D26" s="33">
        <f t="shared" ref="D26:E26" si="1">SUM(D27:D28)</f>
        <v>1712.53</v>
      </c>
      <c r="E26" s="33">
        <f t="shared" si="1"/>
        <v>3425.06</v>
      </c>
      <c r="F26" s="34">
        <v>30000</v>
      </c>
    </row>
    <row r="27" spans="1:7" ht="15.75" x14ac:dyDescent="0.25">
      <c r="A27" s="5"/>
      <c r="B27" s="26" t="s">
        <v>42</v>
      </c>
      <c r="C27" s="27">
        <v>25000</v>
      </c>
      <c r="D27" s="27">
        <v>1712.53</v>
      </c>
      <c r="E27" s="27">
        <f t="shared" si="0"/>
        <v>3425.06</v>
      </c>
      <c r="F27" s="27">
        <v>25000</v>
      </c>
    </row>
    <row r="28" spans="1:7" ht="16.5" thickBot="1" x14ac:dyDescent="0.3">
      <c r="A28" s="5"/>
      <c r="B28" s="30" t="s">
        <v>43</v>
      </c>
      <c r="C28" s="31">
        <v>5000</v>
      </c>
      <c r="D28" s="31"/>
      <c r="E28" s="27">
        <f t="shared" si="0"/>
        <v>0</v>
      </c>
      <c r="F28" s="31">
        <v>5000</v>
      </c>
    </row>
    <row r="29" spans="1:7" ht="16.5" thickBot="1" x14ac:dyDescent="0.3">
      <c r="A29" s="5"/>
      <c r="B29" s="17" t="s">
        <v>50</v>
      </c>
      <c r="C29" s="18">
        <f>C7+C10+C26</f>
        <v>2531222.0001671254</v>
      </c>
      <c r="D29" s="18">
        <f>D7+D10+D26</f>
        <v>1174197.76</v>
      </c>
      <c r="E29" s="18">
        <f>E7+E10+E26</f>
        <v>2346560.6599999997</v>
      </c>
      <c r="F29" s="18">
        <f>F7+F10+F26</f>
        <v>3084471.9751314213</v>
      </c>
    </row>
    <row r="30" spans="1:7" ht="16.5" thickBot="1" x14ac:dyDescent="0.3">
      <c r="A30" s="5"/>
      <c r="B30" s="54" t="s">
        <v>137</v>
      </c>
      <c r="C30" s="55">
        <f>C6-C29</f>
        <v>-756222.00016712537</v>
      </c>
      <c r="D30" s="55">
        <f>D6-D29</f>
        <v>-241805.26</v>
      </c>
      <c r="E30" s="55">
        <f>E6-E29</f>
        <v>-481775.65999999968</v>
      </c>
      <c r="F30" s="55">
        <f>F6-F29</f>
        <v>-1219834.8151314214</v>
      </c>
    </row>
    <row r="31" spans="1:7" ht="15.75" x14ac:dyDescent="0.25">
      <c r="A31" s="5"/>
      <c r="B31" s="5"/>
      <c r="C31" s="13"/>
      <c r="D31" s="13"/>
      <c r="E31" s="13"/>
      <c r="F31" s="14"/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4"/>
    </row>
    <row r="277" spans="1:6" ht="15.75" x14ac:dyDescent="0.25">
      <c r="A277" s="5"/>
      <c r="B277" s="5"/>
      <c r="C277" s="13"/>
      <c r="D277" s="13"/>
      <c r="E277" s="13"/>
      <c r="F277" s="14"/>
    </row>
    <row r="278" spans="1:6" ht="15.75" x14ac:dyDescent="0.25">
      <c r="A278" s="5"/>
      <c r="B278" s="5"/>
      <c r="C278" s="13"/>
      <c r="D278" s="13"/>
      <c r="E278" s="13"/>
      <c r="F278" s="14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  <row r="567" spans="1:6" ht="15.75" x14ac:dyDescent="0.25">
      <c r="A567" s="5"/>
      <c r="B567" s="5"/>
      <c r="C567" s="13"/>
      <c r="D567" s="13"/>
      <c r="E567" s="13"/>
      <c r="F567" s="13"/>
    </row>
    <row r="568" spans="1:6" ht="15.75" x14ac:dyDescent="0.25">
      <c r="A568" s="5"/>
      <c r="B568" s="5"/>
      <c r="C568" s="13"/>
      <c r="D568" s="13"/>
      <c r="E568" s="13"/>
      <c r="F568" s="13"/>
    </row>
    <row r="569" spans="1:6" ht="15.75" x14ac:dyDescent="0.25">
      <c r="A569" s="5"/>
      <c r="B569" s="5"/>
      <c r="C569" s="13"/>
      <c r="D569" s="13"/>
      <c r="E569" s="13"/>
      <c r="F569" s="13"/>
    </row>
  </sheetData>
  <autoFilter ref="B5:F29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A81D-DC2C-4735-B3F7-DAD2E7033D0B}">
  <sheetPr>
    <pageSetUpPr fitToPage="1"/>
  </sheetPr>
  <dimension ref="A2:I570"/>
  <sheetViews>
    <sheetView topLeftCell="A3" workbookViewId="0">
      <selection activeCell="F30" sqref="F30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8" customWidth="1"/>
    <col min="9" max="9" width="14.5703125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182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3238053</v>
      </c>
      <c r="D6" s="52">
        <v>1735896.4100000001</v>
      </c>
      <c r="E6" s="52">
        <v>3471792.82</v>
      </c>
      <c r="F6" s="52">
        <v>3471296.8</v>
      </c>
    </row>
    <row r="7" spans="1:9" ht="16.5" thickBot="1" x14ac:dyDescent="0.3">
      <c r="A7" s="4"/>
      <c r="B7" s="28" t="s">
        <v>10</v>
      </c>
      <c r="C7" s="29">
        <f>SUM(C8:C9)</f>
        <v>859115.96859562839</v>
      </c>
      <c r="D7" s="29">
        <f>SUM(D8:D9)</f>
        <v>739353.64000000013</v>
      </c>
      <c r="E7" s="29">
        <f>SUM(E8:E9)</f>
        <v>1478707.2800000003</v>
      </c>
      <c r="F7" s="29">
        <f>SUM(F8:F9)</f>
        <v>1234045.2761122128</v>
      </c>
      <c r="H7" s="53"/>
      <c r="I7" s="42"/>
    </row>
    <row r="8" spans="1:9" ht="15.75" x14ac:dyDescent="0.25">
      <c r="A8" s="5"/>
      <c r="B8" s="26" t="s">
        <v>11</v>
      </c>
      <c r="C8" s="27">
        <v>702155.52832522127</v>
      </c>
      <c r="D8" s="27">
        <v>550486.32000000007</v>
      </c>
      <c r="E8" s="27">
        <v>1100972.6400000001</v>
      </c>
      <c r="F8" s="27">
        <v>993377.91029757506</v>
      </c>
    </row>
    <row r="9" spans="1:9" ht="16.5" thickBot="1" x14ac:dyDescent="0.3">
      <c r="A9" s="5"/>
      <c r="B9" s="30" t="s">
        <v>12</v>
      </c>
      <c r="C9" s="31">
        <v>156960.4402704071</v>
      </c>
      <c r="D9" s="31">
        <v>188867.32</v>
      </c>
      <c r="E9" s="27">
        <v>377734.64</v>
      </c>
      <c r="F9" s="31">
        <v>240667.36581463771</v>
      </c>
    </row>
    <row r="10" spans="1:9" ht="16.5" thickBot="1" x14ac:dyDescent="0.3">
      <c r="A10" s="4"/>
      <c r="B10" s="32" t="s">
        <v>13</v>
      </c>
      <c r="C10" s="34">
        <f>SUM(C11:C26)</f>
        <v>1744131</v>
      </c>
      <c r="D10" s="34">
        <f t="shared" ref="D10:F10" si="0">SUM(D11:D26)</f>
        <v>833673.75999999989</v>
      </c>
      <c r="E10" s="34">
        <f t="shared" si="0"/>
        <v>1667347.5199999998</v>
      </c>
      <c r="F10" s="34">
        <f t="shared" si="0"/>
        <v>1751251</v>
      </c>
    </row>
    <row r="11" spans="1:9" ht="23.25" x14ac:dyDescent="0.35">
      <c r="A11" s="5"/>
      <c r="B11" s="24" t="s">
        <v>18</v>
      </c>
      <c r="C11" s="25">
        <v>5830</v>
      </c>
      <c r="D11" s="25">
        <v>4772.59</v>
      </c>
      <c r="E11" s="27">
        <f t="shared" ref="E11:E29" si="1">D11*2</f>
        <v>9545.18</v>
      </c>
      <c r="F11" s="25">
        <v>6500</v>
      </c>
      <c r="H11" s="7" t="s">
        <v>53</v>
      </c>
      <c r="I11" s="7">
        <v>12.5</v>
      </c>
    </row>
    <row r="12" spans="1:9" ht="15.75" x14ac:dyDescent="0.25">
      <c r="A12" s="5"/>
      <c r="B12" s="24" t="s">
        <v>128</v>
      </c>
      <c r="C12" s="25">
        <v>1000</v>
      </c>
      <c r="D12" s="25"/>
      <c r="E12" s="27">
        <f t="shared" si="1"/>
        <v>0</v>
      </c>
      <c r="F12" s="25">
        <v>1000</v>
      </c>
    </row>
    <row r="13" spans="1:9" ht="15.75" x14ac:dyDescent="0.25">
      <c r="A13" s="5"/>
      <c r="B13" s="24" t="s">
        <v>129</v>
      </c>
      <c r="C13" s="25">
        <v>200</v>
      </c>
      <c r="D13" s="25"/>
      <c r="E13" s="27">
        <f t="shared" si="1"/>
        <v>0</v>
      </c>
      <c r="F13" s="25">
        <v>200</v>
      </c>
    </row>
    <row r="14" spans="1:9" ht="23.25" x14ac:dyDescent="0.35">
      <c r="A14" s="5"/>
      <c r="B14" s="24" t="s">
        <v>130</v>
      </c>
      <c r="C14" s="25">
        <v>16000</v>
      </c>
      <c r="D14" s="25">
        <v>12405.95</v>
      </c>
      <c r="E14" s="27">
        <f t="shared" si="1"/>
        <v>24811.9</v>
      </c>
      <c r="F14" s="25">
        <v>25000</v>
      </c>
      <c r="H14" s="7" t="s">
        <v>58</v>
      </c>
      <c r="I14" s="7"/>
    </row>
    <row r="15" spans="1:9" ht="15.75" x14ac:dyDescent="0.25">
      <c r="A15" s="5"/>
      <c r="B15" s="24" t="s">
        <v>26</v>
      </c>
      <c r="C15" s="25">
        <v>25000</v>
      </c>
      <c r="D15" s="25">
        <v>17505.27</v>
      </c>
      <c r="E15" s="27">
        <f t="shared" si="1"/>
        <v>35010.54</v>
      </c>
      <c r="F15" s="25">
        <v>25000</v>
      </c>
      <c r="H15" t="s">
        <v>183</v>
      </c>
      <c r="I15" s="40">
        <v>12296</v>
      </c>
    </row>
    <row r="16" spans="1:9" ht="15.75" x14ac:dyDescent="0.25">
      <c r="A16" s="5"/>
      <c r="B16" s="24" t="s">
        <v>28</v>
      </c>
      <c r="C16" s="25">
        <v>11000</v>
      </c>
      <c r="D16" s="25">
        <v>6569.02</v>
      </c>
      <c r="E16" s="27">
        <f t="shared" si="1"/>
        <v>13138.04</v>
      </c>
      <c r="F16" s="25">
        <v>12000</v>
      </c>
      <c r="H16" t="s">
        <v>184</v>
      </c>
      <c r="I16" s="40">
        <v>19763</v>
      </c>
    </row>
    <row r="17" spans="1:6" ht="15.75" x14ac:dyDescent="0.25">
      <c r="A17" s="5"/>
      <c r="B17" s="24" t="s">
        <v>29</v>
      </c>
      <c r="C17" s="25">
        <v>4000</v>
      </c>
      <c r="D17" s="25">
        <v>4796.8500000000004</v>
      </c>
      <c r="E17" s="27">
        <f t="shared" si="1"/>
        <v>9593.7000000000007</v>
      </c>
      <c r="F17" s="25">
        <v>10000</v>
      </c>
    </row>
    <row r="18" spans="1:6" ht="15.75" x14ac:dyDescent="0.25">
      <c r="A18" s="5"/>
      <c r="B18" s="24" t="s">
        <v>30</v>
      </c>
      <c r="C18" s="25">
        <v>3200</v>
      </c>
      <c r="D18" s="25">
        <v>1189.5999999999999</v>
      </c>
      <c r="E18" s="27">
        <f t="shared" si="1"/>
        <v>2379.1999999999998</v>
      </c>
      <c r="F18" s="25">
        <v>2500</v>
      </c>
    </row>
    <row r="19" spans="1:6" ht="15.75" x14ac:dyDescent="0.25">
      <c r="A19" s="5"/>
      <c r="B19" s="24" t="s">
        <v>131</v>
      </c>
      <c r="C19" s="25">
        <v>3300</v>
      </c>
      <c r="D19" s="25">
        <v>3409.89</v>
      </c>
      <c r="E19" s="27">
        <f t="shared" si="1"/>
        <v>6819.78</v>
      </c>
      <c r="F19" s="25">
        <v>7000</v>
      </c>
    </row>
    <row r="20" spans="1:6" ht="15.75" x14ac:dyDescent="0.25">
      <c r="A20" s="5"/>
      <c r="B20" s="24" t="s">
        <v>133</v>
      </c>
      <c r="C20" s="25">
        <v>1300</v>
      </c>
      <c r="D20" s="25">
        <v>527.73</v>
      </c>
      <c r="E20" s="27">
        <f t="shared" si="1"/>
        <v>1055.46</v>
      </c>
      <c r="F20" s="25">
        <v>1300</v>
      </c>
    </row>
    <row r="21" spans="1:6" ht="15.75" x14ac:dyDescent="0.25">
      <c r="A21" s="5"/>
      <c r="B21" s="24" t="s">
        <v>33</v>
      </c>
      <c r="C21" s="25">
        <v>300</v>
      </c>
      <c r="D21" s="25">
        <v>887.07</v>
      </c>
      <c r="E21" s="27">
        <f t="shared" si="1"/>
        <v>1774.14</v>
      </c>
      <c r="F21" s="25">
        <v>1000</v>
      </c>
    </row>
    <row r="22" spans="1:6" ht="15.75" x14ac:dyDescent="0.25">
      <c r="A22" s="5"/>
      <c r="B22" s="24" t="s">
        <v>34</v>
      </c>
      <c r="C22" s="25">
        <v>1647756</v>
      </c>
      <c r="D22" s="25">
        <v>774936.83</v>
      </c>
      <c r="E22" s="27">
        <f t="shared" si="1"/>
        <v>1549873.66</v>
      </c>
      <c r="F22" s="25">
        <v>1647756</v>
      </c>
    </row>
    <row r="23" spans="1:6" ht="15.75" x14ac:dyDescent="0.25">
      <c r="A23" s="5"/>
      <c r="B23" s="24" t="s">
        <v>36</v>
      </c>
      <c r="C23" s="25">
        <v>16000</v>
      </c>
      <c r="D23" s="25">
        <v>1296.3499999999999</v>
      </c>
      <c r="E23" s="27">
        <f t="shared" si="1"/>
        <v>2592.6999999999998</v>
      </c>
      <c r="F23" s="25">
        <v>3000</v>
      </c>
    </row>
    <row r="24" spans="1:6" ht="15.75" x14ac:dyDescent="0.25">
      <c r="A24" s="5"/>
      <c r="B24" s="24" t="s">
        <v>37</v>
      </c>
      <c r="C24" s="25">
        <v>2995</v>
      </c>
      <c r="D24" s="25">
        <v>2614.9</v>
      </c>
      <c r="E24" s="27">
        <f t="shared" si="1"/>
        <v>5229.8</v>
      </c>
      <c r="F24" s="25">
        <v>2995</v>
      </c>
    </row>
    <row r="25" spans="1:6" ht="15.75" x14ac:dyDescent="0.25">
      <c r="A25" s="5"/>
      <c r="B25" s="24" t="s">
        <v>39</v>
      </c>
      <c r="C25" s="25">
        <v>250</v>
      </c>
      <c r="D25" s="25">
        <v>550</v>
      </c>
      <c r="E25" s="27">
        <f t="shared" si="1"/>
        <v>1100</v>
      </c>
      <c r="F25" s="25">
        <v>1000</v>
      </c>
    </row>
    <row r="26" spans="1:6" ht="16.5" thickBot="1" x14ac:dyDescent="0.3">
      <c r="A26" s="5"/>
      <c r="B26" s="24" t="s">
        <v>135</v>
      </c>
      <c r="C26" s="25">
        <v>6000</v>
      </c>
      <c r="D26" s="25">
        <v>2211.71</v>
      </c>
      <c r="E26" s="27">
        <f t="shared" si="1"/>
        <v>4423.42</v>
      </c>
      <c r="F26" s="25">
        <v>5000</v>
      </c>
    </row>
    <row r="27" spans="1:6" ht="16.5" thickBot="1" x14ac:dyDescent="0.3">
      <c r="A27" s="4"/>
      <c r="B27" s="32" t="s">
        <v>41</v>
      </c>
      <c r="C27" s="34">
        <f>SUM(C28:C29)</f>
        <v>1995</v>
      </c>
      <c r="D27" s="34">
        <f t="shared" ref="D27:F27" si="2">SUM(D28:D29)</f>
        <v>0</v>
      </c>
      <c r="E27" s="34">
        <f t="shared" si="2"/>
        <v>0</v>
      </c>
      <c r="F27" s="34">
        <f t="shared" si="2"/>
        <v>0</v>
      </c>
    </row>
    <row r="28" spans="1:6" ht="15.75" x14ac:dyDescent="0.25">
      <c r="A28" s="5"/>
      <c r="B28" s="26" t="s">
        <v>42</v>
      </c>
      <c r="C28" s="27">
        <v>1995</v>
      </c>
      <c r="D28" s="27"/>
      <c r="E28" s="27">
        <f t="shared" si="1"/>
        <v>0</v>
      </c>
      <c r="F28" s="27">
        <v>0</v>
      </c>
    </row>
    <row r="29" spans="1:6" ht="16.5" thickBot="1" x14ac:dyDescent="0.3">
      <c r="A29" s="5"/>
      <c r="B29" s="30" t="s">
        <v>43</v>
      </c>
      <c r="C29" s="31"/>
      <c r="D29" s="31"/>
      <c r="E29" s="27">
        <f t="shared" si="1"/>
        <v>0</v>
      </c>
      <c r="F29" s="31"/>
    </row>
    <row r="30" spans="1:6" ht="16.5" thickBot="1" x14ac:dyDescent="0.3">
      <c r="A30" s="5"/>
      <c r="B30" s="17" t="s">
        <v>50</v>
      </c>
      <c r="C30" s="18">
        <f>C7+C10+C27</f>
        <v>2605241.9685956286</v>
      </c>
      <c r="D30" s="18">
        <f>D7+D10+D27</f>
        <v>1573027.4</v>
      </c>
      <c r="E30" s="18">
        <f>E7+E10+E27</f>
        <v>3146054.8</v>
      </c>
      <c r="F30" s="18">
        <f>F7+F10+F27</f>
        <v>2985296.2761122128</v>
      </c>
    </row>
    <row r="31" spans="1:6" ht="16.5" thickBot="1" x14ac:dyDescent="0.3">
      <c r="A31" s="5"/>
      <c r="B31" s="54" t="s">
        <v>137</v>
      </c>
      <c r="C31" s="55">
        <f>C6-C30</f>
        <v>632811.03140437137</v>
      </c>
      <c r="D31" s="55">
        <f t="shared" ref="D31:F31" si="3">D6-D30</f>
        <v>162869.01000000024</v>
      </c>
      <c r="E31" s="55">
        <f t="shared" si="3"/>
        <v>325738.02</v>
      </c>
      <c r="F31" s="55">
        <f t="shared" si="3"/>
        <v>486000.52388778701</v>
      </c>
    </row>
    <row r="32" spans="1:6" ht="15.75" x14ac:dyDescent="0.25">
      <c r="A32" s="5"/>
      <c r="B32" s="5"/>
      <c r="C32" s="13"/>
      <c r="D32" s="13"/>
      <c r="E32" s="13"/>
      <c r="F32" s="14"/>
    </row>
    <row r="33" spans="1:6" ht="16.5" thickBot="1" x14ac:dyDescent="0.3">
      <c r="A33" s="5"/>
      <c r="B33" s="5"/>
      <c r="C33" s="14"/>
      <c r="D33" s="13"/>
      <c r="E33" s="13"/>
      <c r="F33" s="14"/>
    </row>
    <row r="34" spans="1:6" ht="51" x14ac:dyDescent="0.25">
      <c r="A34" s="5"/>
      <c r="B34" s="36" t="s">
        <v>185</v>
      </c>
      <c r="C34" s="20" t="s">
        <v>67</v>
      </c>
      <c r="D34" s="20" t="s">
        <v>66</v>
      </c>
      <c r="E34" s="20" t="s">
        <v>70</v>
      </c>
      <c r="F34" s="21" t="s">
        <v>68</v>
      </c>
    </row>
    <row r="35" spans="1:6" ht="15.75" x14ac:dyDescent="0.25">
      <c r="A35" s="5"/>
      <c r="B35" s="51" t="s">
        <v>126</v>
      </c>
      <c r="C35" s="52">
        <v>58885</v>
      </c>
      <c r="D35" s="52">
        <v>44715.78</v>
      </c>
      <c r="E35" s="52">
        <v>89431.56</v>
      </c>
      <c r="F35" s="52">
        <v>89431.56</v>
      </c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4"/>
    </row>
    <row r="275" spans="1:6" ht="15.75" x14ac:dyDescent="0.25">
      <c r="A275" s="5"/>
      <c r="B275" s="5"/>
      <c r="C275" s="13"/>
      <c r="D275" s="13"/>
      <c r="E275" s="13"/>
      <c r="F275" s="14"/>
    </row>
    <row r="276" spans="1:6" ht="15.75" x14ac:dyDescent="0.25">
      <c r="A276" s="5"/>
      <c r="B276" s="5"/>
      <c r="C276" s="13"/>
      <c r="D276" s="13"/>
      <c r="E276" s="13"/>
      <c r="F276" s="14"/>
    </row>
    <row r="277" spans="1:6" ht="15.75" x14ac:dyDescent="0.25">
      <c r="A277" s="5"/>
      <c r="B277" s="5"/>
      <c r="C277" s="13"/>
      <c r="D277" s="13"/>
      <c r="E277" s="13"/>
      <c r="F277" s="14"/>
    </row>
    <row r="278" spans="1:6" ht="15.75" x14ac:dyDescent="0.25">
      <c r="A278" s="5"/>
      <c r="B278" s="5"/>
      <c r="C278" s="13"/>
      <c r="D278" s="13"/>
      <c r="E278" s="13"/>
      <c r="F278" s="14"/>
    </row>
    <row r="279" spans="1:6" ht="15.75" x14ac:dyDescent="0.25">
      <c r="A279" s="5"/>
      <c r="B279" s="5"/>
      <c r="C279" s="13"/>
      <c r="D279" s="13"/>
      <c r="E279" s="13"/>
      <c r="F279" s="14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  <row r="565" spans="1:6" ht="15.75" x14ac:dyDescent="0.25">
      <c r="A565" s="5"/>
      <c r="B565" s="5"/>
      <c r="C565" s="13"/>
      <c r="D565" s="13"/>
      <c r="E565" s="13"/>
      <c r="F565" s="13"/>
    </row>
    <row r="566" spans="1:6" ht="15.75" x14ac:dyDescent="0.25">
      <c r="A566" s="5"/>
      <c r="B566" s="5"/>
      <c r="C566" s="13"/>
      <c r="D566" s="13"/>
      <c r="E566" s="13"/>
      <c r="F566" s="13"/>
    </row>
    <row r="567" spans="1:6" ht="15.75" x14ac:dyDescent="0.25">
      <c r="A567" s="5"/>
      <c r="B567" s="5"/>
      <c r="C567" s="13"/>
      <c r="D567" s="13"/>
      <c r="E567" s="13"/>
      <c r="F567" s="13"/>
    </row>
    <row r="568" spans="1:6" ht="15.75" x14ac:dyDescent="0.25">
      <c r="A568" s="5"/>
      <c r="B568" s="5"/>
      <c r="C568" s="13"/>
      <c r="D568" s="13"/>
      <c r="E568" s="13"/>
      <c r="F568" s="13"/>
    </row>
    <row r="569" spans="1:6" ht="15.75" x14ac:dyDescent="0.25">
      <c r="A569" s="5"/>
      <c r="B569" s="5"/>
      <c r="C569" s="13"/>
      <c r="D569" s="13"/>
      <c r="E569" s="13"/>
      <c r="F569" s="13"/>
    </row>
    <row r="570" spans="1:6" ht="15.75" x14ac:dyDescent="0.25">
      <c r="A570" s="5"/>
      <c r="B570" s="5"/>
      <c r="C570" s="13"/>
      <c r="D570" s="13"/>
      <c r="E570" s="13"/>
      <c r="F570" s="13"/>
    </row>
  </sheetData>
  <autoFilter ref="B5:F30" xr:uid="{64F5ABAA-8D38-4E3D-AADC-78C7344CE7D1}"/>
  <pageMargins left="0.7" right="0.7" top="0.75" bottom="0.75" header="0.3" footer="0.3"/>
  <pageSetup scale="6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DD7D-D187-4E19-8D57-FAFD1AFD6433}">
  <sheetPr>
    <pageSetUpPr fitToPage="1"/>
  </sheetPr>
  <dimension ref="A2:I564"/>
  <sheetViews>
    <sheetView topLeftCell="A4" workbookViewId="0">
      <selection activeCell="G22" sqref="G22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25.8554687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181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1003659.2799999999</v>
      </c>
      <c r="D6" s="52">
        <v>546687.5</v>
      </c>
      <c r="E6" s="52">
        <v>1093375</v>
      </c>
      <c r="F6" s="52">
        <v>1093375</v>
      </c>
    </row>
    <row r="7" spans="1:9" ht="16.5" thickBot="1" x14ac:dyDescent="0.3">
      <c r="A7" s="4"/>
      <c r="B7" s="28" t="s">
        <v>10</v>
      </c>
      <c r="C7" s="29">
        <f>SUM(C8:C9)</f>
        <v>686664.40723383368</v>
      </c>
      <c r="D7" s="29">
        <f>SUM(D8:D9)</f>
        <v>322582.27</v>
      </c>
      <c r="E7" s="29">
        <f>SUM(E8:E9)</f>
        <v>645164.54</v>
      </c>
      <c r="F7" s="29">
        <f>SUM(F8:F9)</f>
        <v>665152.43098290928</v>
      </c>
      <c r="H7" s="53"/>
      <c r="I7" s="42"/>
    </row>
    <row r="8" spans="1:9" ht="15.75" x14ac:dyDescent="0.25">
      <c r="A8" s="5"/>
      <c r="B8" s="26" t="s">
        <v>11</v>
      </c>
      <c r="C8" s="27">
        <v>557193.06799389597</v>
      </c>
      <c r="D8" s="27">
        <v>259465.78</v>
      </c>
      <c r="E8" s="27">
        <v>518931.56000000006</v>
      </c>
      <c r="F8" s="27">
        <v>535648.73710070702</v>
      </c>
    </row>
    <row r="9" spans="1:9" ht="16.5" thickBot="1" x14ac:dyDescent="0.3">
      <c r="A9" s="5"/>
      <c r="B9" s="30" t="s">
        <v>12</v>
      </c>
      <c r="C9" s="31">
        <v>129471.3392399377</v>
      </c>
      <c r="D9" s="31">
        <v>63116.49</v>
      </c>
      <c r="E9" s="27">
        <v>126232.97999999998</v>
      </c>
      <c r="F9" s="31">
        <v>129503.69388220231</v>
      </c>
    </row>
    <row r="10" spans="1:9" ht="16.5" thickBot="1" x14ac:dyDescent="0.3">
      <c r="A10" s="4"/>
      <c r="B10" s="32" t="s">
        <v>13</v>
      </c>
      <c r="C10" s="34">
        <f>SUM(C11:C20)</f>
        <v>38600</v>
      </c>
      <c r="D10" s="34">
        <f>SUM(D11:D20)</f>
        <v>16457.059999999998</v>
      </c>
      <c r="E10" s="34">
        <f>SUM(E11:E20)</f>
        <v>21789.199999999997</v>
      </c>
      <c r="F10" s="34">
        <f>SUM(F11:F20)</f>
        <v>41900</v>
      </c>
    </row>
    <row r="11" spans="1:9" ht="23.25" x14ac:dyDescent="0.35">
      <c r="A11" s="5"/>
      <c r="B11" s="24" t="s">
        <v>18</v>
      </c>
      <c r="C11" s="25">
        <v>12000</v>
      </c>
      <c r="D11" s="25">
        <v>82.99</v>
      </c>
      <c r="E11" s="27">
        <f t="shared" ref="E11:E23" si="0">D11*2</f>
        <v>165.98</v>
      </c>
      <c r="F11" s="25">
        <v>10000</v>
      </c>
      <c r="G11" t="s">
        <v>176</v>
      </c>
      <c r="H11" s="7" t="s">
        <v>53</v>
      </c>
      <c r="I11" s="7">
        <v>5.5</v>
      </c>
    </row>
    <row r="12" spans="1:9" ht="23.25" x14ac:dyDescent="0.35">
      <c r="A12" s="5"/>
      <c r="B12" s="24" t="s">
        <v>26</v>
      </c>
      <c r="C12" s="25">
        <v>15000</v>
      </c>
      <c r="D12" s="25">
        <v>7540.6</v>
      </c>
      <c r="E12" s="27">
        <f t="shared" si="0"/>
        <v>15081.2</v>
      </c>
      <c r="F12" s="25">
        <v>15000</v>
      </c>
      <c r="H12" s="7" t="s">
        <v>58</v>
      </c>
      <c r="I12" s="7" t="s">
        <v>59</v>
      </c>
    </row>
    <row r="13" spans="1:9" ht="15.75" x14ac:dyDescent="0.25">
      <c r="A13" s="5"/>
      <c r="B13" s="24" t="s">
        <v>28</v>
      </c>
      <c r="C13" s="25">
        <v>5700</v>
      </c>
      <c r="D13" s="25">
        <v>787.33</v>
      </c>
      <c r="E13" s="27">
        <f t="shared" si="0"/>
        <v>1574.66</v>
      </c>
      <c r="F13" s="25">
        <v>10000</v>
      </c>
      <c r="H13" s="24" t="s">
        <v>28</v>
      </c>
    </row>
    <row r="14" spans="1:9" ht="15.75" x14ac:dyDescent="0.25">
      <c r="A14" s="5"/>
      <c r="B14" s="24" t="s">
        <v>29</v>
      </c>
      <c r="C14" s="25">
        <v>1400</v>
      </c>
      <c r="D14" s="25">
        <v>789.65</v>
      </c>
      <c r="E14" s="27">
        <f t="shared" si="0"/>
        <v>1579.3</v>
      </c>
      <c r="F14" s="25">
        <v>1600</v>
      </c>
      <c r="H14" t="s">
        <v>177</v>
      </c>
      <c r="I14" s="40">
        <v>900</v>
      </c>
    </row>
    <row r="15" spans="1:9" ht="15.75" x14ac:dyDescent="0.25">
      <c r="A15" s="5"/>
      <c r="B15" s="24" t="s">
        <v>30</v>
      </c>
      <c r="C15" s="25">
        <v>1200</v>
      </c>
      <c r="D15" s="25">
        <v>87.97</v>
      </c>
      <c r="E15" s="27">
        <f t="shared" si="0"/>
        <v>175.94</v>
      </c>
      <c r="F15" s="25">
        <v>1200</v>
      </c>
      <c r="H15" t="s">
        <v>178</v>
      </c>
      <c r="I15" s="40">
        <v>1700</v>
      </c>
    </row>
    <row r="16" spans="1:9" ht="15.75" x14ac:dyDescent="0.25">
      <c r="A16" s="5"/>
      <c r="B16" s="24" t="s">
        <v>131</v>
      </c>
      <c r="C16" s="25">
        <v>1500</v>
      </c>
      <c r="D16" s="25">
        <v>905.01</v>
      </c>
      <c r="E16" s="27">
        <f t="shared" si="0"/>
        <v>1810.02</v>
      </c>
      <c r="F16" s="25">
        <v>1800</v>
      </c>
      <c r="H16" t="s">
        <v>179</v>
      </c>
      <c r="I16" s="40">
        <v>3500</v>
      </c>
    </row>
    <row r="17" spans="1:9" ht="15.75" x14ac:dyDescent="0.25">
      <c r="A17" s="5"/>
      <c r="B17" s="24" t="s">
        <v>134</v>
      </c>
      <c r="C17" s="25">
        <v>1000</v>
      </c>
      <c r="D17" s="25"/>
      <c r="E17" s="27">
        <f t="shared" si="0"/>
        <v>0</v>
      </c>
      <c r="F17" s="25">
        <v>500</v>
      </c>
      <c r="H17" t="s">
        <v>180</v>
      </c>
      <c r="I17" s="40">
        <v>800</v>
      </c>
    </row>
    <row r="18" spans="1:9" ht="15.75" x14ac:dyDescent="0.25">
      <c r="A18" s="5"/>
      <c r="B18" s="61" t="s">
        <v>37</v>
      </c>
      <c r="C18" s="25"/>
      <c r="D18" s="25">
        <v>5562.46</v>
      </c>
      <c r="E18" s="27"/>
      <c r="F18" s="25"/>
      <c r="I18" s="40"/>
    </row>
    <row r="19" spans="1:9" ht="15.75" x14ac:dyDescent="0.25">
      <c r="A19" s="5"/>
      <c r="B19" s="24" t="s">
        <v>33</v>
      </c>
      <c r="C19" s="25">
        <v>500</v>
      </c>
      <c r="D19" s="25">
        <v>701.05</v>
      </c>
      <c r="E19" s="27">
        <f t="shared" si="0"/>
        <v>1402.1</v>
      </c>
      <c r="F19" s="25">
        <v>1500</v>
      </c>
    </row>
    <row r="20" spans="1:9" ht="16.5" thickBot="1" x14ac:dyDescent="0.3">
      <c r="A20" s="5"/>
      <c r="B20" s="24" t="s">
        <v>39</v>
      </c>
      <c r="C20" s="25">
        <v>300</v>
      </c>
      <c r="D20" s="25"/>
      <c r="E20" s="27">
        <f t="shared" si="0"/>
        <v>0</v>
      </c>
      <c r="F20" s="25">
        <v>300</v>
      </c>
    </row>
    <row r="21" spans="1:9" ht="16.5" thickBot="1" x14ac:dyDescent="0.3">
      <c r="A21" s="4"/>
      <c r="B21" s="32" t="s">
        <v>41</v>
      </c>
      <c r="C21" s="33">
        <f t="shared" ref="C21:E21" si="1">SUM(C22:C23)</f>
        <v>7500</v>
      </c>
      <c r="D21" s="33">
        <f t="shared" si="1"/>
        <v>10298.43</v>
      </c>
      <c r="E21" s="33">
        <f t="shared" si="1"/>
        <v>20596.86</v>
      </c>
      <c r="F21" s="34">
        <v>10000</v>
      </c>
    </row>
    <row r="22" spans="1:9" ht="15.75" x14ac:dyDescent="0.25">
      <c r="A22" s="5"/>
      <c r="B22" s="26" t="s">
        <v>42</v>
      </c>
      <c r="C22" s="27">
        <v>7500</v>
      </c>
      <c r="D22" s="27">
        <v>7820</v>
      </c>
      <c r="E22" s="27">
        <f t="shared" si="0"/>
        <v>15640</v>
      </c>
      <c r="F22" s="27">
        <v>7500</v>
      </c>
    </row>
    <row r="23" spans="1:9" ht="16.5" thickBot="1" x14ac:dyDescent="0.3">
      <c r="A23" s="5"/>
      <c r="B23" s="30" t="s">
        <v>43</v>
      </c>
      <c r="C23" s="31">
        <v>0</v>
      </c>
      <c r="D23" s="31">
        <v>2478.4299999999998</v>
      </c>
      <c r="E23" s="27">
        <f t="shared" si="0"/>
        <v>4956.8599999999997</v>
      </c>
      <c r="F23" s="31">
        <v>2500</v>
      </c>
    </row>
    <row r="24" spans="1:9" ht="16.5" thickBot="1" x14ac:dyDescent="0.3">
      <c r="A24" s="5"/>
      <c r="B24" s="17" t="s">
        <v>50</v>
      </c>
      <c r="C24" s="18">
        <f>C7+C10+C21</f>
        <v>732764.40723383368</v>
      </c>
      <c r="D24" s="18">
        <f>D7+D10+D21</f>
        <v>349337.76</v>
      </c>
      <c r="E24" s="18">
        <f>E7+E10+E21</f>
        <v>687550.6</v>
      </c>
      <c r="F24" s="18">
        <f>F7+F10+F21</f>
        <v>717052.43098290928</v>
      </c>
    </row>
    <row r="25" spans="1:9" ht="16.5" thickBot="1" x14ac:dyDescent="0.3">
      <c r="A25" s="5"/>
      <c r="B25" s="54" t="s">
        <v>137</v>
      </c>
      <c r="C25" s="55">
        <f>C6-C24</f>
        <v>270894.87276616623</v>
      </c>
      <c r="D25" s="55">
        <f>D6-D24</f>
        <v>197349.74</v>
      </c>
      <c r="E25" s="55">
        <f>E6-E24</f>
        <v>405824.4</v>
      </c>
      <c r="F25" s="55">
        <f>F6-F24</f>
        <v>376322.56901709072</v>
      </c>
    </row>
    <row r="26" spans="1:9" ht="15.75" x14ac:dyDescent="0.25">
      <c r="A26" s="5"/>
      <c r="B26" s="5"/>
      <c r="C26" s="13"/>
      <c r="D26" s="13"/>
      <c r="E26" s="13"/>
      <c r="F26" s="14"/>
    </row>
    <row r="27" spans="1:9" ht="15.75" x14ac:dyDescent="0.25">
      <c r="A27" s="5"/>
      <c r="B27" s="5"/>
      <c r="C27" s="13"/>
      <c r="D27" s="13"/>
      <c r="E27" s="13"/>
      <c r="F27" s="14"/>
    </row>
    <row r="28" spans="1:9" ht="15.75" x14ac:dyDescent="0.25">
      <c r="A28" s="5"/>
      <c r="B28" s="5"/>
      <c r="C28" s="13"/>
      <c r="D28" s="13"/>
      <c r="E28" s="13"/>
      <c r="F28" s="14"/>
    </row>
    <row r="29" spans="1:9" ht="15.75" x14ac:dyDescent="0.25">
      <c r="A29" s="5"/>
      <c r="B29" s="5"/>
      <c r="C29" s="13"/>
      <c r="D29" s="13"/>
      <c r="E29" s="13"/>
      <c r="F29" s="14"/>
    </row>
    <row r="30" spans="1:9" ht="15.75" x14ac:dyDescent="0.25">
      <c r="A30" s="5"/>
      <c r="B30" s="5"/>
      <c r="C30" s="13"/>
      <c r="D30" s="13"/>
      <c r="E30" s="13"/>
      <c r="F30" s="14"/>
    </row>
    <row r="31" spans="1:9" ht="15.75" x14ac:dyDescent="0.25">
      <c r="A31" s="5"/>
      <c r="B31" s="5"/>
      <c r="C31" s="13"/>
      <c r="D31" s="13"/>
      <c r="E31" s="13"/>
      <c r="F31" s="14"/>
    </row>
    <row r="32" spans="1:9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4"/>
    </row>
    <row r="255" spans="1:6" ht="15.75" x14ac:dyDescent="0.25">
      <c r="A255" s="5"/>
      <c r="B255" s="5"/>
      <c r="C255" s="13"/>
      <c r="D255" s="13"/>
      <c r="E255" s="13"/>
      <c r="F255" s="14"/>
    </row>
    <row r="256" spans="1:6" ht="15.75" x14ac:dyDescent="0.25">
      <c r="A256" s="5"/>
      <c r="B256" s="5"/>
      <c r="C256" s="13"/>
      <c r="D256" s="13"/>
      <c r="E256" s="13"/>
      <c r="F256" s="14"/>
    </row>
    <row r="257" spans="1:6" ht="15.75" x14ac:dyDescent="0.25">
      <c r="A257" s="5"/>
      <c r="B257" s="5"/>
      <c r="C257" s="13"/>
      <c r="D257" s="13"/>
      <c r="E257" s="13"/>
      <c r="F257" s="14"/>
    </row>
    <row r="258" spans="1:6" ht="15.75" x14ac:dyDescent="0.25">
      <c r="A258" s="5"/>
      <c r="B258" s="5"/>
      <c r="C258" s="13"/>
      <c r="D258" s="13"/>
      <c r="E258" s="13"/>
      <c r="F258" s="14"/>
    </row>
    <row r="259" spans="1:6" ht="15.75" x14ac:dyDescent="0.25">
      <c r="A259" s="5"/>
      <c r="B259" s="5"/>
      <c r="C259" s="13"/>
      <c r="D259" s="13"/>
      <c r="E259" s="13"/>
      <c r="F259" s="14"/>
    </row>
    <row r="260" spans="1:6" ht="15.75" x14ac:dyDescent="0.25">
      <c r="A260" s="5"/>
      <c r="B260" s="5"/>
      <c r="C260" s="13"/>
      <c r="D260" s="13"/>
      <c r="E260" s="13"/>
      <c r="F260" s="14"/>
    </row>
    <row r="261" spans="1:6" ht="15.75" x14ac:dyDescent="0.25">
      <c r="A261" s="5"/>
      <c r="B261" s="5"/>
      <c r="C261" s="13"/>
      <c r="D261" s="13"/>
      <c r="E261" s="13"/>
      <c r="F261" s="14"/>
    </row>
    <row r="262" spans="1:6" ht="15.75" x14ac:dyDescent="0.25">
      <c r="A262" s="5"/>
      <c r="B262" s="5"/>
      <c r="C262" s="13"/>
      <c r="D262" s="13"/>
      <c r="E262" s="13"/>
      <c r="F262" s="14"/>
    </row>
    <row r="263" spans="1:6" ht="15.75" x14ac:dyDescent="0.25">
      <c r="A263" s="5"/>
      <c r="B263" s="5"/>
      <c r="C263" s="13"/>
      <c r="D263" s="13"/>
      <c r="E263" s="13"/>
      <c r="F263" s="14"/>
    </row>
    <row r="264" spans="1:6" ht="15.75" x14ac:dyDescent="0.25">
      <c r="A264" s="5"/>
      <c r="B264" s="5"/>
      <c r="C264" s="13"/>
      <c r="D264" s="13"/>
      <c r="E264" s="13"/>
      <c r="F264" s="14"/>
    </row>
    <row r="265" spans="1:6" ht="15.75" x14ac:dyDescent="0.25">
      <c r="A265" s="5"/>
      <c r="B265" s="5"/>
      <c r="C265" s="13"/>
      <c r="D265" s="13"/>
      <c r="E265" s="13"/>
      <c r="F265" s="14"/>
    </row>
    <row r="266" spans="1:6" ht="15.75" x14ac:dyDescent="0.25">
      <c r="A266" s="5"/>
      <c r="B266" s="5"/>
      <c r="C266" s="13"/>
      <c r="D266" s="13"/>
      <c r="E266" s="13"/>
      <c r="F266" s="14"/>
    </row>
    <row r="267" spans="1:6" ht="15.75" x14ac:dyDescent="0.25">
      <c r="A267" s="5"/>
      <c r="B267" s="5"/>
      <c r="C267" s="13"/>
      <c r="D267" s="13"/>
      <c r="E267" s="13"/>
      <c r="F267" s="14"/>
    </row>
    <row r="268" spans="1:6" ht="15.75" x14ac:dyDescent="0.25">
      <c r="A268" s="5"/>
      <c r="B268" s="5"/>
      <c r="C268" s="13"/>
      <c r="D268" s="13"/>
      <c r="E268" s="13"/>
      <c r="F268" s="14"/>
    </row>
    <row r="269" spans="1:6" ht="15.75" x14ac:dyDescent="0.25">
      <c r="A269" s="5"/>
      <c r="B269" s="5"/>
      <c r="C269" s="13"/>
      <c r="D269" s="13"/>
      <c r="E269" s="13"/>
      <c r="F269" s="14"/>
    </row>
    <row r="270" spans="1:6" ht="15.75" x14ac:dyDescent="0.25">
      <c r="A270" s="5"/>
      <c r="B270" s="5"/>
      <c r="C270" s="13"/>
      <c r="D270" s="13"/>
      <c r="E270" s="13"/>
      <c r="F270" s="14"/>
    </row>
    <row r="271" spans="1:6" ht="15.75" x14ac:dyDescent="0.25">
      <c r="A271" s="5"/>
      <c r="B271" s="5"/>
      <c r="C271" s="13"/>
      <c r="D271" s="13"/>
      <c r="E271" s="13"/>
      <c r="F271" s="14"/>
    </row>
    <row r="272" spans="1:6" ht="15.75" x14ac:dyDescent="0.25">
      <c r="A272" s="5"/>
      <c r="B272" s="5"/>
      <c r="C272" s="13"/>
      <c r="D272" s="13"/>
      <c r="E272" s="13"/>
      <c r="F272" s="14"/>
    </row>
    <row r="273" spans="1:6" ht="15.75" x14ac:dyDescent="0.25">
      <c r="A273" s="5"/>
      <c r="B273" s="5"/>
      <c r="C273" s="13"/>
      <c r="D273" s="13"/>
      <c r="E273" s="13"/>
      <c r="F273" s="14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  <row r="545" spans="1:6" ht="15.75" x14ac:dyDescent="0.25">
      <c r="A545" s="5"/>
      <c r="B545" s="5"/>
      <c r="C545" s="13"/>
      <c r="D545" s="13"/>
      <c r="E545" s="13"/>
      <c r="F545" s="13"/>
    </row>
    <row r="546" spans="1:6" ht="15.75" x14ac:dyDescent="0.25">
      <c r="A546" s="5"/>
      <c r="B546" s="5"/>
      <c r="C546" s="13"/>
      <c r="D546" s="13"/>
      <c r="E546" s="13"/>
      <c r="F546" s="13"/>
    </row>
    <row r="547" spans="1:6" ht="15.75" x14ac:dyDescent="0.25">
      <c r="A547" s="5"/>
      <c r="B547" s="5"/>
      <c r="C547" s="13"/>
      <c r="D547" s="13"/>
      <c r="E547" s="13"/>
      <c r="F547" s="13"/>
    </row>
    <row r="548" spans="1:6" ht="15.75" x14ac:dyDescent="0.25">
      <c r="A548" s="5"/>
      <c r="B548" s="5"/>
      <c r="C548" s="13"/>
      <c r="D548" s="13"/>
      <c r="E548" s="13"/>
      <c r="F548" s="13"/>
    </row>
    <row r="549" spans="1:6" ht="15.75" x14ac:dyDescent="0.25">
      <c r="A549" s="5"/>
      <c r="B549" s="5"/>
      <c r="C549" s="13"/>
      <c r="D549" s="13"/>
      <c r="E549" s="13"/>
      <c r="F549" s="13"/>
    </row>
    <row r="550" spans="1:6" ht="15.75" x14ac:dyDescent="0.25">
      <c r="A550" s="5"/>
      <c r="B550" s="5"/>
      <c r="C550" s="13"/>
      <c r="D550" s="13"/>
      <c r="E550" s="13"/>
      <c r="F550" s="13"/>
    </row>
    <row r="551" spans="1:6" ht="15.75" x14ac:dyDescent="0.25">
      <c r="A551" s="5"/>
      <c r="B551" s="5"/>
      <c r="C551" s="13"/>
      <c r="D551" s="13"/>
      <c r="E551" s="13"/>
      <c r="F551" s="13"/>
    </row>
    <row r="552" spans="1:6" ht="15.75" x14ac:dyDescent="0.25">
      <c r="A552" s="5"/>
      <c r="B552" s="5"/>
      <c r="C552" s="13"/>
      <c r="D552" s="13"/>
      <c r="E552" s="13"/>
      <c r="F552" s="13"/>
    </row>
    <row r="553" spans="1:6" ht="15.75" x14ac:dyDescent="0.25">
      <c r="A553" s="5"/>
      <c r="B553" s="5"/>
      <c r="C553" s="13"/>
      <c r="D553" s="13"/>
      <c r="E553" s="13"/>
      <c r="F553" s="13"/>
    </row>
    <row r="554" spans="1:6" ht="15.75" x14ac:dyDescent="0.25">
      <c r="A554" s="5"/>
      <c r="B554" s="5"/>
      <c r="C554" s="13"/>
      <c r="D554" s="13"/>
      <c r="E554" s="13"/>
      <c r="F554" s="13"/>
    </row>
    <row r="555" spans="1:6" ht="15.75" x14ac:dyDescent="0.25">
      <c r="A555" s="5"/>
      <c r="B555" s="5"/>
      <c r="C555" s="13"/>
      <c r="D555" s="13"/>
      <c r="E555" s="13"/>
      <c r="F555" s="13"/>
    </row>
    <row r="556" spans="1:6" ht="15.75" x14ac:dyDescent="0.25">
      <c r="A556" s="5"/>
      <c r="B556" s="5"/>
      <c r="C556" s="13"/>
      <c r="D556" s="13"/>
      <c r="E556" s="13"/>
      <c r="F556" s="13"/>
    </row>
    <row r="557" spans="1:6" ht="15.75" x14ac:dyDescent="0.25">
      <c r="A557" s="5"/>
      <c r="B557" s="5"/>
      <c r="C557" s="13"/>
      <c r="D557" s="13"/>
      <c r="E557" s="13"/>
      <c r="F557" s="13"/>
    </row>
    <row r="558" spans="1:6" ht="15.75" x14ac:dyDescent="0.25">
      <c r="A558" s="5"/>
      <c r="B558" s="5"/>
      <c r="C558" s="13"/>
      <c r="D558" s="13"/>
      <c r="E558" s="13"/>
      <c r="F558" s="13"/>
    </row>
    <row r="559" spans="1:6" ht="15.75" x14ac:dyDescent="0.25">
      <c r="A559" s="5"/>
      <c r="B559" s="5"/>
      <c r="C559" s="13"/>
      <c r="D559" s="13"/>
      <c r="E559" s="13"/>
      <c r="F559" s="13"/>
    </row>
    <row r="560" spans="1:6" ht="15.75" x14ac:dyDescent="0.25">
      <c r="A560" s="5"/>
      <c r="B560" s="5"/>
      <c r="C560" s="13"/>
      <c r="D560" s="13"/>
      <c r="E560" s="13"/>
      <c r="F560" s="13"/>
    </row>
    <row r="561" spans="1:6" ht="15.75" x14ac:dyDescent="0.25">
      <c r="A561" s="5"/>
      <c r="B561" s="5"/>
      <c r="C561" s="13"/>
      <c r="D561" s="13"/>
      <c r="E561" s="13"/>
      <c r="F561" s="13"/>
    </row>
    <row r="562" spans="1:6" ht="15.75" x14ac:dyDescent="0.25">
      <c r="A562" s="5"/>
      <c r="B562" s="5"/>
      <c r="C562" s="13"/>
      <c r="D562" s="13"/>
      <c r="E562" s="13"/>
      <c r="F562" s="13"/>
    </row>
    <row r="563" spans="1:6" ht="15.75" x14ac:dyDescent="0.25">
      <c r="A563" s="5"/>
      <c r="B563" s="5"/>
      <c r="C563" s="13"/>
      <c r="D563" s="13"/>
      <c r="E563" s="13"/>
      <c r="F563" s="13"/>
    </row>
    <row r="564" spans="1:6" ht="15.75" x14ac:dyDescent="0.25">
      <c r="A564" s="5"/>
      <c r="B564" s="5"/>
      <c r="C564" s="13"/>
      <c r="D564" s="13"/>
      <c r="E564" s="13"/>
      <c r="F564" s="13"/>
    </row>
  </sheetData>
  <autoFilter ref="B5:F24" xr:uid="{64F5ABAA-8D38-4E3D-AADC-78C7344CE7D1}"/>
  <pageMargins left="0.7" right="0.7" top="0.75" bottom="0.75" header="0.3" footer="0.3"/>
  <pageSetup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F24-2935-4DE8-B798-73288CE9724B}">
  <sheetPr>
    <pageSetUpPr fitToPage="1"/>
  </sheetPr>
  <dimension ref="A2:I544"/>
  <sheetViews>
    <sheetView workbookViewId="0">
      <selection activeCell="H23" sqref="H23"/>
    </sheetView>
  </sheetViews>
  <sheetFormatPr defaultRowHeight="15" x14ac:dyDescent="0.25"/>
  <cols>
    <col min="1" max="1" width="2.42578125" customWidth="1"/>
    <col min="2" max="2" width="29.5703125" customWidth="1"/>
    <col min="3" max="3" width="23.7109375" style="10" customWidth="1"/>
    <col min="4" max="5" width="22.140625" style="10" customWidth="1"/>
    <col min="6" max="6" width="22" style="10" customWidth="1"/>
    <col min="7" max="7" width="26" customWidth="1"/>
    <col min="8" max="8" width="13.5703125" customWidth="1"/>
    <col min="9" max="9" width="10" customWidth="1"/>
  </cols>
  <sheetData>
    <row r="2" spans="1:9" ht="26.25" x14ac:dyDescent="0.4">
      <c r="A2" s="1"/>
      <c r="B2" s="1"/>
      <c r="C2" s="15" t="s">
        <v>0</v>
      </c>
      <c r="D2" s="9"/>
      <c r="E2" s="9"/>
    </row>
    <row r="3" spans="1:9" ht="31.5" x14ac:dyDescent="0.5">
      <c r="A3" s="2"/>
      <c r="B3" s="2"/>
      <c r="C3" s="16" t="s">
        <v>1</v>
      </c>
      <c r="D3" s="11"/>
      <c r="E3" s="11"/>
    </row>
    <row r="4" spans="1:9" ht="32.25" thickBot="1" x14ac:dyDescent="0.55000000000000004">
      <c r="A4" s="2"/>
      <c r="B4" s="2"/>
      <c r="C4" s="11"/>
      <c r="D4" s="11"/>
      <c r="E4" s="11"/>
      <c r="F4" s="12"/>
    </row>
    <row r="5" spans="1:9" ht="51" x14ac:dyDescent="0.25">
      <c r="A5" s="3"/>
      <c r="B5" s="36" t="s">
        <v>171</v>
      </c>
      <c r="C5" s="20" t="s">
        <v>67</v>
      </c>
      <c r="D5" s="20" t="s">
        <v>66</v>
      </c>
      <c r="E5" s="20" t="s">
        <v>70</v>
      </c>
      <c r="F5" s="21" t="s">
        <v>68</v>
      </c>
    </row>
    <row r="6" spans="1:9" x14ac:dyDescent="0.25">
      <c r="A6" s="3"/>
      <c r="B6" s="51" t="s">
        <v>126</v>
      </c>
      <c r="C6" s="52">
        <v>764209.76</v>
      </c>
      <c r="D6" s="52">
        <v>489058.84</v>
      </c>
      <c r="E6" s="52">
        <v>978117.68</v>
      </c>
      <c r="F6" s="52">
        <v>1173741.2159999998</v>
      </c>
    </row>
    <row r="7" spans="1:9" ht="16.5" thickBot="1" x14ac:dyDescent="0.3">
      <c r="A7" s="4"/>
      <c r="B7" s="28" t="s">
        <v>10</v>
      </c>
      <c r="C7" s="29">
        <f>SUM(C8:C9)</f>
        <v>217717.84389807587</v>
      </c>
      <c r="D7" s="29">
        <f>SUM(D8:D9)</f>
        <v>114141.42</v>
      </c>
      <c r="E7" s="29">
        <f>SUM(E8:E9)</f>
        <v>228282.84</v>
      </c>
      <c r="F7" s="29">
        <f>SUM(F8:F9)</f>
        <v>224384.80959752979</v>
      </c>
      <c r="H7" s="53"/>
      <c r="I7" s="42"/>
    </row>
    <row r="8" spans="1:9" ht="15.75" x14ac:dyDescent="0.25">
      <c r="A8" s="5"/>
      <c r="B8" s="26" t="s">
        <v>11</v>
      </c>
      <c r="C8" s="27">
        <v>176878.37167746612</v>
      </c>
      <c r="D8" s="27">
        <v>81991.31</v>
      </c>
      <c r="E8" s="27">
        <v>163982.62</v>
      </c>
      <c r="F8" s="27">
        <v>177811.6678124</v>
      </c>
    </row>
    <row r="9" spans="1:9" ht="16.5" thickBot="1" x14ac:dyDescent="0.3">
      <c r="A9" s="5"/>
      <c r="B9" s="30" t="s">
        <v>12</v>
      </c>
      <c r="C9" s="31">
        <v>40839.472220609758</v>
      </c>
      <c r="D9" s="31">
        <v>32150.11</v>
      </c>
      <c r="E9" s="27">
        <v>64300.22</v>
      </c>
      <c r="F9" s="31">
        <v>46573.141785129796</v>
      </c>
    </row>
    <row r="10" spans="1:9" ht="16.5" thickBot="1" x14ac:dyDescent="0.3">
      <c r="A10" s="4"/>
      <c r="B10" s="32" t="s">
        <v>13</v>
      </c>
      <c r="C10" s="34">
        <f>SUM(C11:C21)</f>
        <v>400667</v>
      </c>
      <c r="D10" s="34">
        <f>SUM(D11:D21)</f>
        <v>417001.61999999994</v>
      </c>
      <c r="E10" s="34">
        <f>SUM(E11:E21)</f>
        <v>834003.23999999987</v>
      </c>
      <c r="F10" s="34">
        <f>SUM(F11:F21)</f>
        <v>700277.77999999991</v>
      </c>
    </row>
    <row r="11" spans="1:9" ht="23.25" x14ac:dyDescent="0.35">
      <c r="A11" s="5"/>
      <c r="B11" s="24" t="s">
        <v>18</v>
      </c>
      <c r="C11" s="25">
        <v>3300</v>
      </c>
      <c r="D11" s="25">
        <v>1556.46</v>
      </c>
      <c r="E11" s="27">
        <f t="shared" ref="E11:E24" si="0">D11*2</f>
        <v>3112.92</v>
      </c>
      <c r="F11" s="25">
        <v>3500</v>
      </c>
      <c r="H11" s="7" t="s">
        <v>53</v>
      </c>
      <c r="I11" s="7">
        <v>0.88</v>
      </c>
    </row>
    <row r="12" spans="1:9" ht="23.25" x14ac:dyDescent="0.35">
      <c r="A12" s="5"/>
      <c r="B12" s="24" t="s">
        <v>129</v>
      </c>
      <c r="C12" s="25">
        <v>4500</v>
      </c>
      <c r="D12" s="25">
        <v>14006.29</v>
      </c>
      <c r="E12" s="27">
        <f t="shared" si="0"/>
        <v>28012.58</v>
      </c>
      <c r="F12" s="25">
        <v>8000</v>
      </c>
      <c r="H12" s="7" t="s">
        <v>58</v>
      </c>
      <c r="I12" s="7" t="s">
        <v>59</v>
      </c>
    </row>
    <row r="13" spans="1:9" ht="15.75" x14ac:dyDescent="0.25">
      <c r="A13" s="5"/>
      <c r="B13" s="24" t="s">
        <v>26</v>
      </c>
      <c r="C13" s="25">
        <v>500</v>
      </c>
      <c r="D13" s="25"/>
      <c r="E13" s="27">
        <f t="shared" si="0"/>
        <v>0</v>
      </c>
      <c r="F13" s="25">
        <v>500</v>
      </c>
    </row>
    <row r="14" spans="1:9" ht="15.75" x14ac:dyDescent="0.25">
      <c r="A14" s="5"/>
      <c r="B14" s="24" t="s">
        <v>28</v>
      </c>
      <c r="C14" s="25">
        <v>500</v>
      </c>
      <c r="D14" s="25">
        <v>379.98</v>
      </c>
      <c r="E14" s="27">
        <f t="shared" si="0"/>
        <v>759.96</v>
      </c>
      <c r="F14" s="25">
        <v>500</v>
      </c>
    </row>
    <row r="15" spans="1:9" ht="15.75" x14ac:dyDescent="0.25">
      <c r="A15" s="5"/>
      <c r="B15" s="24" t="s">
        <v>29</v>
      </c>
      <c r="C15" s="25">
        <v>200</v>
      </c>
      <c r="D15" s="25">
        <v>198.26</v>
      </c>
      <c r="E15" s="27">
        <f t="shared" si="0"/>
        <v>396.52</v>
      </c>
      <c r="F15" s="25">
        <v>300</v>
      </c>
    </row>
    <row r="16" spans="1:9" ht="15.75" x14ac:dyDescent="0.25">
      <c r="A16" s="5"/>
      <c r="B16" s="24" t="s">
        <v>30</v>
      </c>
      <c r="C16" s="25">
        <v>450</v>
      </c>
      <c r="D16" s="25">
        <v>139.21</v>
      </c>
      <c r="E16" s="27">
        <f t="shared" si="0"/>
        <v>278.42</v>
      </c>
      <c r="F16" s="25">
        <v>450</v>
      </c>
    </row>
    <row r="17" spans="1:7" ht="15.75" x14ac:dyDescent="0.25">
      <c r="A17" s="5"/>
      <c r="B17" s="24" t="s">
        <v>134</v>
      </c>
      <c r="C17" s="25">
        <v>350000</v>
      </c>
      <c r="D17" s="25">
        <v>376556.18</v>
      </c>
      <c r="E17" s="27">
        <f t="shared" si="0"/>
        <v>753112.36</v>
      </c>
      <c r="F17" s="25">
        <v>639894.36</v>
      </c>
    </row>
    <row r="18" spans="1:7" ht="15.75" x14ac:dyDescent="0.25">
      <c r="A18" s="5"/>
      <c r="B18" s="24" t="s">
        <v>33</v>
      </c>
      <c r="C18" s="25">
        <v>250</v>
      </c>
      <c r="D18" s="25">
        <v>632.16</v>
      </c>
      <c r="E18" s="27">
        <f t="shared" si="0"/>
        <v>1264.32</v>
      </c>
      <c r="F18" s="25">
        <v>1300</v>
      </c>
    </row>
    <row r="19" spans="1:7" ht="15.75" x14ac:dyDescent="0.25">
      <c r="A19" s="5"/>
      <c r="B19" s="24" t="s">
        <v>34</v>
      </c>
      <c r="C19" s="25">
        <v>0</v>
      </c>
      <c r="D19" s="25">
        <v>10033.73</v>
      </c>
      <c r="E19" s="27">
        <f t="shared" si="0"/>
        <v>20067.46</v>
      </c>
      <c r="F19" s="25">
        <v>10000</v>
      </c>
      <c r="G19" t="s">
        <v>172</v>
      </c>
    </row>
    <row r="20" spans="1:7" ht="15.75" x14ac:dyDescent="0.25">
      <c r="A20" s="5"/>
      <c r="B20" s="24" t="s">
        <v>36</v>
      </c>
      <c r="C20" s="25">
        <v>14027</v>
      </c>
      <c r="D20" s="25">
        <v>7065.6</v>
      </c>
      <c r="E20" s="27">
        <f t="shared" si="0"/>
        <v>14131.2</v>
      </c>
      <c r="F20" s="25">
        <v>16957.439999999999</v>
      </c>
      <c r="G20" t="s">
        <v>174</v>
      </c>
    </row>
    <row r="21" spans="1:7" ht="16.5" thickBot="1" x14ac:dyDescent="0.3">
      <c r="A21" s="5"/>
      <c r="B21" s="24" t="s">
        <v>37</v>
      </c>
      <c r="C21" s="25">
        <v>26940</v>
      </c>
      <c r="D21" s="25">
        <v>6433.75</v>
      </c>
      <c r="E21" s="27">
        <f t="shared" si="0"/>
        <v>12867.5</v>
      </c>
      <c r="F21" s="25">
        <v>18875.98</v>
      </c>
      <c r="G21" t="s">
        <v>173</v>
      </c>
    </row>
    <row r="22" spans="1:7" ht="16.5" thickBot="1" x14ac:dyDescent="0.3">
      <c r="A22" s="4"/>
      <c r="B22" s="32" t="s">
        <v>41</v>
      </c>
      <c r="C22" s="33">
        <f t="shared" ref="C22:E22" si="1">SUM(C23:C24)</f>
        <v>1500</v>
      </c>
      <c r="D22" s="33">
        <f t="shared" si="1"/>
        <v>0</v>
      </c>
      <c r="E22" s="33">
        <f t="shared" si="1"/>
        <v>0</v>
      </c>
      <c r="F22" s="34">
        <v>1500</v>
      </c>
    </row>
    <row r="23" spans="1:7" ht="15.75" x14ac:dyDescent="0.25">
      <c r="A23" s="5"/>
      <c r="B23" s="26" t="s">
        <v>42</v>
      </c>
      <c r="C23" s="27">
        <v>1000</v>
      </c>
      <c r="D23" s="27"/>
      <c r="E23" s="27">
        <f t="shared" si="0"/>
        <v>0</v>
      </c>
      <c r="F23" s="27">
        <v>1000</v>
      </c>
    </row>
    <row r="24" spans="1:7" ht="16.5" thickBot="1" x14ac:dyDescent="0.3">
      <c r="A24" s="5"/>
      <c r="B24" s="30" t="s">
        <v>43</v>
      </c>
      <c r="C24" s="31">
        <v>500</v>
      </c>
      <c r="D24" s="31"/>
      <c r="E24" s="27">
        <f t="shared" si="0"/>
        <v>0</v>
      </c>
      <c r="F24" s="31">
        <v>500</v>
      </c>
    </row>
    <row r="25" spans="1:7" ht="16.5" thickBot="1" x14ac:dyDescent="0.3">
      <c r="A25" s="5"/>
      <c r="B25" s="17" t="s">
        <v>50</v>
      </c>
      <c r="C25" s="18">
        <f>C7+C10+C22</f>
        <v>619884.84389807587</v>
      </c>
      <c r="D25" s="18">
        <f>D7+D10+D22</f>
        <v>531143.03999999992</v>
      </c>
      <c r="E25" s="18">
        <f>E7+E10+E22</f>
        <v>1062286.0799999998</v>
      </c>
      <c r="F25" s="18">
        <f>F7+F10+F22</f>
        <v>926162.58959752973</v>
      </c>
    </row>
    <row r="26" spans="1:7" ht="16.5" thickBot="1" x14ac:dyDescent="0.3">
      <c r="A26" s="5"/>
      <c r="B26" s="54" t="s">
        <v>137</v>
      </c>
      <c r="C26" s="55">
        <f>C6-C25</f>
        <v>144324.91610192414</v>
      </c>
      <c r="D26" s="55">
        <f t="shared" ref="D26:F26" si="2">D6-D25</f>
        <v>-42084.199999999895</v>
      </c>
      <c r="E26" s="55">
        <f t="shared" si="2"/>
        <v>-84168.39999999979</v>
      </c>
      <c r="F26" s="55">
        <f t="shared" si="2"/>
        <v>247578.62640247005</v>
      </c>
    </row>
    <row r="27" spans="1:7" ht="15.75" x14ac:dyDescent="0.25">
      <c r="A27" s="5"/>
      <c r="B27" s="5"/>
      <c r="C27" s="13"/>
      <c r="D27" s="13"/>
      <c r="E27" s="13"/>
      <c r="F27" s="14"/>
    </row>
    <row r="28" spans="1:7" ht="15.75" x14ac:dyDescent="0.25">
      <c r="A28" s="5"/>
      <c r="B28" s="5"/>
      <c r="C28" s="13"/>
      <c r="D28" s="13"/>
      <c r="E28" s="13"/>
      <c r="F28" s="14"/>
    </row>
    <row r="29" spans="1:7" ht="16.5" thickBot="1" x14ac:dyDescent="0.3">
      <c r="A29" s="5"/>
      <c r="B29" s="5"/>
      <c r="C29" s="13"/>
      <c r="D29" s="13"/>
      <c r="E29" s="13"/>
      <c r="F29" s="14"/>
    </row>
    <row r="30" spans="1:7" ht="51" x14ac:dyDescent="0.25">
      <c r="A30" s="5"/>
      <c r="B30" s="36" t="s">
        <v>175</v>
      </c>
      <c r="C30" s="20" t="s">
        <v>67</v>
      </c>
      <c r="D30" s="20" t="s">
        <v>66</v>
      </c>
      <c r="E30" s="20" t="s">
        <v>70</v>
      </c>
      <c r="F30" s="21" t="s">
        <v>68</v>
      </c>
    </row>
    <row r="31" spans="1:7" ht="15.75" x14ac:dyDescent="0.25">
      <c r="A31" s="5"/>
      <c r="B31" s="51" t="s">
        <v>126</v>
      </c>
      <c r="C31" s="52">
        <v>750771.7</v>
      </c>
      <c r="D31" s="52">
        <v>482231.74</v>
      </c>
      <c r="E31" s="52">
        <v>964463.48</v>
      </c>
      <c r="F31" s="52">
        <v>1157356.176</v>
      </c>
    </row>
    <row r="32" spans="1:7" ht="15.75" x14ac:dyDescent="0.25">
      <c r="A32" s="5"/>
      <c r="B32" s="5"/>
      <c r="C32" s="13"/>
      <c r="D32" s="13"/>
      <c r="E32" s="13"/>
      <c r="F32" s="14"/>
    </row>
    <row r="33" spans="1:6" ht="15.75" x14ac:dyDescent="0.25">
      <c r="A33" s="5"/>
      <c r="B33" s="5"/>
      <c r="C33" s="13"/>
      <c r="D33" s="13"/>
      <c r="E33" s="13"/>
      <c r="F33" s="14"/>
    </row>
    <row r="34" spans="1:6" ht="15.75" x14ac:dyDescent="0.25">
      <c r="A34" s="5"/>
      <c r="B34" s="5"/>
      <c r="C34" s="13"/>
      <c r="D34" s="13"/>
      <c r="E34" s="13"/>
      <c r="F34" s="14"/>
    </row>
    <row r="35" spans="1:6" ht="15.75" x14ac:dyDescent="0.25">
      <c r="A35" s="5"/>
      <c r="B35" s="5"/>
      <c r="C35" s="13"/>
      <c r="D35" s="13"/>
      <c r="E35" s="13"/>
      <c r="F35" s="14"/>
    </row>
    <row r="36" spans="1:6" ht="15.75" x14ac:dyDescent="0.25">
      <c r="A36" s="5"/>
      <c r="B36" s="5"/>
      <c r="C36" s="13"/>
      <c r="D36" s="13"/>
      <c r="E36" s="13"/>
      <c r="F36" s="14"/>
    </row>
    <row r="37" spans="1:6" ht="15.75" x14ac:dyDescent="0.25">
      <c r="A37" s="5"/>
      <c r="B37" s="5"/>
      <c r="C37" s="13"/>
      <c r="D37" s="13"/>
      <c r="E37" s="13"/>
      <c r="F37" s="14"/>
    </row>
    <row r="38" spans="1:6" ht="15.75" x14ac:dyDescent="0.25">
      <c r="A38" s="5"/>
      <c r="B38" s="5"/>
      <c r="C38" s="13"/>
      <c r="D38" s="13"/>
      <c r="E38" s="13"/>
      <c r="F38" s="14"/>
    </row>
    <row r="39" spans="1:6" ht="15.75" x14ac:dyDescent="0.25">
      <c r="A39" s="5"/>
      <c r="B39" s="5"/>
      <c r="C39" s="13"/>
      <c r="D39" s="13"/>
      <c r="E39" s="13"/>
      <c r="F39" s="14"/>
    </row>
    <row r="40" spans="1:6" ht="15.75" x14ac:dyDescent="0.25">
      <c r="A40" s="5"/>
      <c r="B40" s="5"/>
      <c r="C40" s="13"/>
      <c r="D40" s="13"/>
      <c r="E40" s="13"/>
      <c r="F40" s="14"/>
    </row>
    <row r="41" spans="1:6" ht="15.75" x14ac:dyDescent="0.25">
      <c r="A41" s="5"/>
      <c r="B41" s="5"/>
      <c r="C41" s="13"/>
      <c r="D41" s="13"/>
      <c r="E41" s="13"/>
      <c r="F41" s="14"/>
    </row>
    <row r="42" spans="1:6" ht="15.75" x14ac:dyDescent="0.25">
      <c r="A42" s="5"/>
      <c r="B42" s="5"/>
      <c r="C42" s="13"/>
      <c r="D42" s="13"/>
      <c r="E42" s="13"/>
      <c r="F42" s="14"/>
    </row>
    <row r="43" spans="1:6" ht="15.75" x14ac:dyDescent="0.25">
      <c r="A43" s="5"/>
      <c r="B43" s="5"/>
      <c r="C43" s="13"/>
      <c r="D43" s="13"/>
      <c r="E43" s="13"/>
      <c r="F43" s="14"/>
    </row>
    <row r="44" spans="1:6" ht="15.75" x14ac:dyDescent="0.25">
      <c r="A44" s="5"/>
      <c r="B44" s="5"/>
      <c r="C44" s="13"/>
      <c r="D44" s="13"/>
      <c r="E44" s="13"/>
      <c r="F44" s="14"/>
    </row>
    <row r="45" spans="1:6" ht="15.75" x14ac:dyDescent="0.25">
      <c r="A45" s="5"/>
      <c r="B45" s="5"/>
      <c r="C45" s="13"/>
      <c r="D45" s="13"/>
      <c r="E45" s="13"/>
      <c r="F45" s="14"/>
    </row>
    <row r="46" spans="1:6" ht="15.75" x14ac:dyDescent="0.25">
      <c r="A46" s="5"/>
      <c r="B46" s="5"/>
      <c r="C46" s="13"/>
      <c r="D46" s="13"/>
      <c r="E46" s="13"/>
      <c r="F46" s="14"/>
    </row>
    <row r="47" spans="1:6" ht="15.75" x14ac:dyDescent="0.25">
      <c r="A47" s="5"/>
      <c r="B47" s="5"/>
      <c r="C47" s="13"/>
      <c r="D47" s="13"/>
      <c r="E47" s="13"/>
      <c r="F47" s="14"/>
    </row>
    <row r="48" spans="1:6" ht="15.75" x14ac:dyDescent="0.25">
      <c r="A48" s="5"/>
      <c r="B48" s="5"/>
      <c r="C48" s="13"/>
      <c r="D48" s="13"/>
      <c r="E48" s="13"/>
      <c r="F48" s="14"/>
    </row>
    <row r="49" spans="1:6" ht="15.75" x14ac:dyDescent="0.25">
      <c r="A49" s="5"/>
      <c r="B49" s="5"/>
      <c r="C49" s="13"/>
      <c r="D49" s="13"/>
      <c r="E49" s="13"/>
      <c r="F49" s="14"/>
    </row>
    <row r="50" spans="1:6" ht="15.75" x14ac:dyDescent="0.25">
      <c r="A50" s="5"/>
      <c r="B50" s="5"/>
      <c r="C50" s="13"/>
      <c r="D50" s="13"/>
      <c r="E50" s="13"/>
      <c r="F50" s="14"/>
    </row>
    <row r="51" spans="1:6" ht="15.75" x14ac:dyDescent="0.25">
      <c r="A51" s="5"/>
      <c r="B51" s="5"/>
      <c r="C51" s="13"/>
      <c r="D51" s="13"/>
      <c r="E51" s="13"/>
      <c r="F51" s="14"/>
    </row>
    <row r="52" spans="1:6" ht="15.75" x14ac:dyDescent="0.25">
      <c r="A52" s="5"/>
      <c r="B52" s="5"/>
      <c r="C52" s="13"/>
      <c r="D52" s="13"/>
      <c r="E52" s="13"/>
      <c r="F52" s="14"/>
    </row>
    <row r="53" spans="1:6" ht="15.75" x14ac:dyDescent="0.25">
      <c r="A53" s="5"/>
      <c r="B53" s="5"/>
      <c r="C53" s="13"/>
      <c r="D53" s="13"/>
      <c r="E53" s="13"/>
      <c r="F53" s="14"/>
    </row>
    <row r="54" spans="1:6" ht="15.75" x14ac:dyDescent="0.25">
      <c r="A54" s="5"/>
      <c r="B54" s="5"/>
      <c r="C54" s="13"/>
      <c r="D54" s="13"/>
      <c r="E54" s="13"/>
      <c r="F54" s="14"/>
    </row>
    <row r="55" spans="1:6" ht="15.75" x14ac:dyDescent="0.25">
      <c r="A55" s="5"/>
      <c r="B55" s="5"/>
      <c r="C55" s="13"/>
      <c r="D55" s="13"/>
      <c r="E55" s="13"/>
      <c r="F55" s="14"/>
    </row>
    <row r="56" spans="1:6" ht="15.75" x14ac:dyDescent="0.25">
      <c r="A56" s="5"/>
      <c r="B56" s="5"/>
      <c r="C56" s="13"/>
      <c r="D56" s="13"/>
      <c r="E56" s="13"/>
      <c r="F56" s="14"/>
    </row>
    <row r="57" spans="1:6" ht="15.75" x14ac:dyDescent="0.25">
      <c r="A57" s="5"/>
      <c r="B57" s="5"/>
      <c r="C57" s="13"/>
      <c r="D57" s="13"/>
      <c r="E57" s="13"/>
      <c r="F57" s="14"/>
    </row>
    <row r="58" spans="1:6" ht="15.75" x14ac:dyDescent="0.25">
      <c r="A58" s="5"/>
      <c r="B58" s="5"/>
      <c r="C58" s="13"/>
      <c r="D58" s="13"/>
      <c r="E58" s="13"/>
      <c r="F58" s="14"/>
    </row>
    <row r="59" spans="1:6" ht="15.75" x14ac:dyDescent="0.25">
      <c r="A59" s="5"/>
      <c r="B59" s="5"/>
      <c r="C59" s="13"/>
      <c r="D59" s="13"/>
      <c r="E59" s="13"/>
      <c r="F59" s="14"/>
    </row>
    <row r="60" spans="1:6" ht="15.75" x14ac:dyDescent="0.25">
      <c r="A60" s="5"/>
      <c r="B60" s="5"/>
      <c r="C60" s="13"/>
      <c r="D60" s="13"/>
      <c r="E60" s="13"/>
      <c r="F60" s="14"/>
    </row>
    <row r="61" spans="1:6" ht="15.75" x14ac:dyDescent="0.25">
      <c r="A61" s="5"/>
      <c r="B61" s="5"/>
      <c r="C61" s="13"/>
      <c r="D61" s="13"/>
      <c r="E61" s="13"/>
      <c r="F61" s="14"/>
    </row>
    <row r="62" spans="1:6" ht="15.75" x14ac:dyDescent="0.25">
      <c r="A62" s="5"/>
      <c r="B62" s="5"/>
      <c r="C62" s="13"/>
      <c r="D62" s="13"/>
      <c r="E62" s="13"/>
      <c r="F62" s="14"/>
    </row>
    <row r="63" spans="1:6" ht="15.75" x14ac:dyDescent="0.25">
      <c r="A63" s="5"/>
      <c r="B63" s="5"/>
      <c r="C63" s="13"/>
      <c r="D63" s="13"/>
      <c r="E63" s="13"/>
      <c r="F63" s="14"/>
    </row>
    <row r="64" spans="1:6" ht="15.75" x14ac:dyDescent="0.25">
      <c r="A64" s="5"/>
      <c r="B64" s="5"/>
      <c r="C64" s="13"/>
      <c r="D64" s="13"/>
      <c r="E64" s="13"/>
      <c r="F64" s="14"/>
    </row>
    <row r="65" spans="1:6" ht="15.75" x14ac:dyDescent="0.25">
      <c r="A65" s="5"/>
      <c r="B65" s="5"/>
      <c r="C65" s="13"/>
      <c r="D65" s="13"/>
      <c r="E65" s="13"/>
      <c r="F65" s="14"/>
    </row>
    <row r="66" spans="1:6" ht="15.75" x14ac:dyDescent="0.25">
      <c r="A66" s="5"/>
      <c r="B66" s="5"/>
      <c r="C66" s="13"/>
      <c r="D66" s="13"/>
      <c r="E66" s="13"/>
      <c r="F66" s="14"/>
    </row>
    <row r="67" spans="1:6" ht="15.75" x14ac:dyDescent="0.25">
      <c r="A67" s="5"/>
      <c r="B67" s="5"/>
      <c r="C67" s="13"/>
      <c r="D67" s="13"/>
      <c r="E67" s="13"/>
      <c r="F67" s="14"/>
    </row>
    <row r="68" spans="1:6" ht="15.75" x14ac:dyDescent="0.25">
      <c r="A68" s="5"/>
      <c r="B68" s="5"/>
      <c r="C68" s="13"/>
      <c r="D68" s="13"/>
      <c r="E68" s="13"/>
      <c r="F68" s="14"/>
    </row>
    <row r="69" spans="1:6" ht="15.75" x14ac:dyDescent="0.25">
      <c r="A69" s="5"/>
      <c r="B69" s="5"/>
      <c r="C69" s="13"/>
      <c r="D69" s="13"/>
      <c r="E69" s="13"/>
      <c r="F69" s="14"/>
    </row>
    <row r="70" spans="1:6" ht="15.75" x14ac:dyDescent="0.25">
      <c r="A70" s="5"/>
      <c r="B70" s="5"/>
      <c r="C70" s="13"/>
      <c r="D70" s="13"/>
      <c r="E70" s="13"/>
      <c r="F70" s="14"/>
    </row>
    <row r="71" spans="1:6" ht="15.75" x14ac:dyDescent="0.25">
      <c r="A71" s="5"/>
      <c r="B71" s="5"/>
      <c r="C71" s="13"/>
      <c r="D71" s="13"/>
      <c r="E71" s="13"/>
      <c r="F71" s="14"/>
    </row>
    <row r="72" spans="1:6" ht="15.75" x14ac:dyDescent="0.25">
      <c r="A72" s="5"/>
      <c r="B72" s="5"/>
      <c r="C72" s="13"/>
      <c r="D72" s="13"/>
      <c r="E72" s="13"/>
      <c r="F72" s="14"/>
    </row>
    <row r="73" spans="1:6" ht="15.75" x14ac:dyDescent="0.25">
      <c r="A73" s="5"/>
      <c r="B73" s="5"/>
      <c r="C73" s="13"/>
      <c r="D73" s="13"/>
      <c r="E73" s="13"/>
      <c r="F73" s="14"/>
    </row>
    <row r="74" spans="1:6" ht="15.75" x14ac:dyDescent="0.25">
      <c r="A74" s="5"/>
      <c r="B74" s="5"/>
      <c r="C74" s="13"/>
      <c r="D74" s="13"/>
      <c r="E74" s="13"/>
      <c r="F74" s="14"/>
    </row>
    <row r="75" spans="1:6" ht="15.75" x14ac:dyDescent="0.25">
      <c r="A75" s="5"/>
      <c r="B75" s="5"/>
      <c r="C75" s="13"/>
      <c r="D75" s="13"/>
      <c r="E75" s="13"/>
      <c r="F75" s="14"/>
    </row>
    <row r="76" spans="1:6" ht="15.75" x14ac:dyDescent="0.25">
      <c r="A76" s="5"/>
      <c r="B76" s="5"/>
      <c r="C76" s="13"/>
      <c r="D76" s="13"/>
      <c r="E76" s="13"/>
      <c r="F76" s="14"/>
    </row>
    <row r="77" spans="1:6" ht="15.75" x14ac:dyDescent="0.25">
      <c r="A77" s="5"/>
      <c r="B77" s="5"/>
      <c r="C77" s="13"/>
      <c r="D77" s="13"/>
      <c r="E77" s="13"/>
      <c r="F77" s="14"/>
    </row>
    <row r="78" spans="1:6" ht="15.75" x14ac:dyDescent="0.25">
      <c r="A78" s="5"/>
      <c r="B78" s="5"/>
      <c r="C78" s="13"/>
      <c r="D78" s="13"/>
      <c r="E78" s="13"/>
      <c r="F78" s="14"/>
    </row>
    <row r="79" spans="1:6" ht="15.75" x14ac:dyDescent="0.25">
      <c r="A79" s="5"/>
      <c r="B79" s="5"/>
      <c r="C79" s="13"/>
      <c r="D79" s="13"/>
      <c r="E79" s="13"/>
      <c r="F79" s="14"/>
    </row>
    <row r="80" spans="1:6" ht="15.75" x14ac:dyDescent="0.25">
      <c r="A80" s="5"/>
      <c r="B80" s="5"/>
      <c r="C80" s="13"/>
      <c r="D80" s="13"/>
      <c r="E80" s="13"/>
      <c r="F80" s="14"/>
    </row>
    <row r="81" spans="1:6" ht="15.75" x14ac:dyDescent="0.25">
      <c r="A81" s="5"/>
      <c r="B81" s="5"/>
      <c r="C81" s="13"/>
      <c r="D81" s="13"/>
      <c r="E81" s="13"/>
      <c r="F81" s="14"/>
    </row>
    <row r="82" spans="1:6" ht="15.75" x14ac:dyDescent="0.25">
      <c r="A82" s="5"/>
      <c r="B82" s="5"/>
      <c r="C82" s="13"/>
      <c r="D82" s="13"/>
      <c r="E82" s="13"/>
      <c r="F82" s="14"/>
    </row>
    <row r="83" spans="1:6" ht="15.75" x14ac:dyDescent="0.25">
      <c r="A83" s="5"/>
      <c r="B83" s="5"/>
      <c r="C83" s="13"/>
      <c r="D83" s="13"/>
      <c r="E83" s="13"/>
      <c r="F83" s="14"/>
    </row>
    <row r="84" spans="1:6" ht="15.75" x14ac:dyDescent="0.25">
      <c r="A84" s="5"/>
      <c r="B84" s="5"/>
      <c r="C84" s="13"/>
      <c r="D84" s="13"/>
      <c r="E84" s="13"/>
      <c r="F84" s="14"/>
    </row>
    <row r="85" spans="1:6" ht="15.75" x14ac:dyDescent="0.25">
      <c r="A85" s="5"/>
      <c r="B85" s="5"/>
      <c r="C85" s="13"/>
      <c r="D85" s="13"/>
      <c r="E85" s="13"/>
      <c r="F85" s="14"/>
    </row>
    <row r="86" spans="1:6" ht="15.75" x14ac:dyDescent="0.25">
      <c r="A86" s="5"/>
      <c r="B86" s="5"/>
      <c r="C86" s="13"/>
      <c r="D86" s="13"/>
      <c r="E86" s="13"/>
      <c r="F86" s="14"/>
    </row>
    <row r="87" spans="1:6" ht="15.75" x14ac:dyDescent="0.25">
      <c r="A87" s="5"/>
      <c r="B87" s="5"/>
      <c r="C87" s="13"/>
      <c r="D87" s="13"/>
      <c r="E87" s="13"/>
      <c r="F87" s="14"/>
    </row>
    <row r="88" spans="1:6" ht="15.75" x14ac:dyDescent="0.25">
      <c r="A88" s="5"/>
      <c r="B88" s="5"/>
      <c r="C88" s="13"/>
      <c r="D88" s="13"/>
      <c r="E88" s="13"/>
      <c r="F88" s="14"/>
    </row>
    <row r="89" spans="1:6" ht="15.75" x14ac:dyDescent="0.25">
      <c r="A89" s="5"/>
      <c r="B89" s="5"/>
      <c r="C89" s="13"/>
      <c r="D89" s="13"/>
      <c r="E89" s="13"/>
      <c r="F89" s="14"/>
    </row>
    <row r="90" spans="1:6" ht="15.75" x14ac:dyDescent="0.25">
      <c r="A90" s="5"/>
      <c r="B90" s="5"/>
      <c r="C90" s="13"/>
      <c r="D90" s="13"/>
      <c r="E90" s="13"/>
      <c r="F90" s="14"/>
    </row>
    <row r="91" spans="1:6" ht="15.75" x14ac:dyDescent="0.25">
      <c r="A91" s="5"/>
      <c r="B91" s="5"/>
      <c r="C91" s="13"/>
      <c r="D91" s="13"/>
      <c r="E91" s="13"/>
      <c r="F91" s="14"/>
    </row>
    <row r="92" spans="1:6" ht="15.75" x14ac:dyDescent="0.25">
      <c r="A92" s="5"/>
      <c r="B92" s="5"/>
      <c r="C92" s="13"/>
      <c r="D92" s="13"/>
      <c r="E92" s="13"/>
      <c r="F92" s="14"/>
    </row>
    <row r="93" spans="1:6" ht="15.75" x14ac:dyDescent="0.25">
      <c r="A93" s="5"/>
      <c r="B93" s="5"/>
      <c r="C93" s="13"/>
      <c r="D93" s="13"/>
      <c r="E93" s="13"/>
      <c r="F93" s="14"/>
    </row>
    <row r="94" spans="1:6" ht="15.75" x14ac:dyDescent="0.25">
      <c r="A94" s="5"/>
      <c r="B94" s="5"/>
      <c r="C94" s="13"/>
      <c r="D94" s="13"/>
      <c r="E94" s="13"/>
      <c r="F94" s="14"/>
    </row>
    <row r="95" spans="1:6" ht="15.75" x14ac:dyDescent="0.25">
      <c r="A95" s="5"/>
      <c r="B95" s="5"/>
      <c r="C95" s="13"/>
      <c r="D95" s="13"/>
      <c r="E95" s="13"/>
      <c r="F95" s="14"/>
    </row>
    <row r="96" spans="1:6" ht="15.75" x14ac:dyDescent="0.25">
      <c r="A96" s="5"/>
      <c r="B96" s="5"/>
      <c r="C96" s="13"/>
      <c r="D96" s="13"/>
      <c r="E96" s="13"/>
      <c r="F96" s="14"/>
    </row>
    <row r="97" spans="1:6" ht="15.75" x14ac:dyDescent="0.25">
      <c r="A97" s="5"/>
      <c r="B97" s="5"/>
      <c r="C97" s="13"/>
      <c r="D97" s="13"/>
      <c r="E97" s="13"/>
      <c r="F97" s="14"/>
    </row>
    <row r="98" spans="1:6" ht="15.75" x14ac:dyDescent="0.25">
      <c r="A98" s="5"/>
      <c r="B98" s="5"/>
      <c r="C98" s="13"/>
      <c r="D98" s="13"/>
      <c r="E98" s="13"/>
      <c r="F98" s="14"/>
    </row>
    <row r="99" spans="1:6" ht="15.75" x14ac:dyDescent="0.25">
      <c r="A99" s="5"/>
      <c r="B99" s="5"/>
      <c r="C99" s="13"/>
      <c r="D99" s="13"/>
      <c r="E99" s="13"/>
      <c r="F99" s="14"/>
    </row>
    <row r="100" spans="1:6" ht="15.75" x14ac:dyDescent="0.25">
      <c r="A100" s="5"/>
      <c r="B100" s="5"/>
      <c r="C100" s="13"/>
      <c r="D100" s="13"/>
      <c r="E100" s="13"/>
      <c r="F100" s="14"/>
    </row>
    <row r="101" spans="1:6" ht="15.75" x14ac:dyDescent="0.25">
      <c r="A101" s="5"/>
      <c r="B101" s="5"/>
      <c r="C101" s="13"/>
      <c r="D101" s="13"/>
      <c r="E101" s="13"/>
      <c r="F101" s="14"/>
    </row>
    <row r="102" spans="1:6" ht="15.75" x14ac:dyDescent="0.25">
      <c r="A102" s="5"/>
      <c r="B102" s="5"/>
      <c r="C102" s="13"/>
      <c r="D102" s="13"/>
      <c r="E102" s="13"/>
      <c r="F102" s="14"/>
    </row>
    <row r="103" spans="1:6" ht="15.75" x14ac:dyDescent="0.25">
      <c r="A103" s="5"/>
      <c r="B103" s="5"/>
      <c r="C103" s="13"/>
      <c r="D103" s="13"/>
      <c r="E103" s="13"/>
      <c r="F103" s="14"/>
    </row>
    <row r="104" spans="1:6" ht="15.75" x14ac:dyDescent="0.25">
      <c r="A104" s="5"/>
      <c r="B104" s="5"/>
      <c r="C104" s="13"/>
      <c r="D104" s="13"/>
      <c r="E104" s="13"/>
      <c r="F104" s="14"/>
    </row>
    <row r="105" spans="1:6" ht="15.75" x14ac:dyDescent="0.25">
      <c r="A105" s="5"/>
      <c r="B105" s="5"/>
      <c r="C105" s="13"/>
      <c r="D105" s="13"/>
      <c r="E105" s="13"/>
      <c r="F105" s="14"/>
    </row>
    <row r="106" spans="1:6" ht="15.75" x14ac:dyDescent="0.25">
      <c r="A106" s="5"/>
      <c r="B106" s="5"/>
      <c r="C106" s="13"/>
      <c r="D106" s="13"/>
      <c r="E106" s="13"/>
      <c r="F106" s="14"/>
    </row>
    <row r="107" spans="1:6" ht="15.75" x14ac:dyDescent="0.25">
      <c r="A107" s="5"/>
      <c r="B107" s="5"/>
      <c r="C107" s="13"/>
      <c r="D107" s="13"/>
      <c r="E107" s="13"/>
      <c r="F107" s="14"/>
    </row>
    <row r="108" spans="1:6" ht="15.75" x14ac:dyDescent="0.25">
      <c r="A108" s="5"/>
      <c r="B108" s="5"/>
      <c r="C108" s="13"/>
      <c r="D108" s="13"/>
      <c r="E108" s="13"/>
      <c r="F108" s="14"/>
    </row>
    <row r="109" spans="1:6" ht="15.75" x14ac:dyDescent="0.25">
      <c r="A109" s="5"/>
      <c r="B109" s="5"/>
      <c r="C109" s="13"/>
      <c r="D109" s="13"/>
      <c r="E109" s="13"/>
      <c r="F109" s="14"/>
    </row>
    <row r="110" spans="1:6" ht="15.75" x14ac:dyDescent="0.25">
      <c r="A110" s="5"/>
      <c r="B110" s="5"/>
      <c r="C110" s="13"/>
      <c r="D110" s="13"/>
      <c r="E110" s="13"/>
      <c r="F110" s="14"/>
    </row>
    <row r="111" spans="1:6" ht="15.75" x14ac:dyDescent="0.25">
      <c r="A111" s="5"/>
      <c r="B111" s="5"/>
      <c r="C111" s="13"/>
      <c r="D111" s="13"/>
      <c r="E111" s="13"/>
      <c r="F111" s="14"/>
    </row>
    <row r="112" spans="1:6" ht="15.75" x14ac:dyDescent="0.25">
      <c r="A112" s="5"/>
      <c r="B112" s="5"/>
      <c r="C112" s="13"/>
      <c r="D112" s="13"/>
      <c r="E112" s="13"/>
      <c r="F112" s="14"/>
    </row>
    <row r="113" spans="1:6" ht="15.75" x14ac:dyDescent="0.25">
      <c r="A113" s="5"/>
      <c r="B113" s="5"/>
      <c r="C113" s="13"/>
      <c r="D113" s="13"/>
      <c r="E113" s="13"/>
      <c r="F113" s="14"/>
    </row>
    <row r="114" spans="1:6" ht="15.75" x14ac:dyDescent="0.25">
      <c r="A114" s="5"/>
      <c r="B114" s="5"/>
      <c r="C114" s="13"/>
      <c r="D114" s="13"/>
      <c r="E114" s="13"/>
      <c r="F114" s="14"/>
    </row>
    <row r="115" spans="1:6" ht="15.75" x14ac:dyDescent="0.25">
      <c r="A115" s="5"/>
      <c r="B115" s="5"/>
      <c r="C115" s="13"/>
      <c r="D115" s="13"/>
      <c r="E115" s="13"/>
      <c r="F115" s="14"/>
    </row>
    <row r="116" spans="1:6" ht="15.75" x14ac:dyDescent="0.25">
      <c r="A116" s="5"/>
      <c r="B116" s="5"/>
      <c r="C116" s="13"/>
      <c r="D116" s="13"/>
      <c r="E116" s="13"/>
      <c r="F116" s="14"/>
    </row>
    <row r="117" spans="1:6" ht="15.75" x14ac:dyDescent="0.25">
      <c r="A117" s="5"/>
      <c r="B117" s="5"/>
      <c r="C117" s="13"/>
      <c r="D117" s="13"/>
      <c r="E117" s="13"/>
      <c r="F117" s="14"/>
    </row>
    <row r="118" spans="1:6" ht="15.75" x14ac:dyDescent="0.25">
      <c r="A118" s="5"/>
      <c r="B118" s="5"/>
      <c r="C118" s="13"/>
      <c r="D118" s="13"/>
      <c r="E118" s="13"/>
      <c r="F118" s="14"/>
    </row>
    <row r="119" spans="1:6" ht="15.75" x14ac:dyDescent="0.25">
      <c r="A119" s="5"/>
      <c r="B119" s="5"/>
      <c r="C119" s="13"/>
      <c r="D119" s="13"/>
      <c r="E119" s="13"/>
      <c r="F119" s="14"/>
    </row>
    <row r="120" spans="1:6" ht="15.75" x14ac:dyDescent="0.25">
      <c r="A120" s="5"/>
      <c r="B120" s="5"/>
      <c r="C120" s="13"/>
      <c r="D120" s="13"/>
      <c r="E120" s="13"/>
      <c r="F120" s="14"/>
    </row>
    <row r="121" spans="1:6" ht="15.75" x14ac:dyDescent="0.25">
      <c r="A121" s="5"/>
      <c r="B121" s="5"/>
      <c r="C121" s="13"/>
      <c r="D121" s="13"/>
      <c r="E121" s="13"/>
      <c r="F121" s="14"/>
    </row>
    <row r="122" spans="1:6" ht="15.75" x14ac:dyDescent="0.25">
      <c r="A122" s="5"/>
      <c r="B122" s="5"/>
      <c r="C122" s="13"/>
      <c r="D122" s="13"/>
      <c r="E122" s="13"/>
      <c r="F122" s="14"/>
    </row>
    <row r="123" spans="1:6" ht="15.75" x14ac:dyDescent="0.25">
      <c r="A123" s="5"/>
      <c r="B123" s="5"/>
      <c r="C123" s="13"/>
      <c r="D123" s="13"/>
      <c r="E123" s="13"/>
      <c r="F123" s="14"/>
    </row>
    <row r="124" spans="1:6" ht="15.75" x14ac:dyDescent="0.25">
      <c r="A124" s="5"/>
      <c r="B124" s="5"/>
      <c r="C124" s="13"/>
      <c r="D124" s="13"/>
      <c r="E124" s="13"/>
      <c r="F124" s="14"/>
    </row>
    <row r="125" spans="1:6" ht="15.75" x14ac:dyDescent="0.25">
      <c r="A125" s="5"/>
      <c r="B125" s="5"/>
      <c r="C125" s="13"/>
      <c r="D125" s="13"/>
      <c r="E125" s="13"/>
      <c r="F125" s="14"/>
    </row>
    <row r="126" spans="1:6" ht="15.75" x14ac:dyDescent="0.25">
      <c r="A126" s="5"/>
      <c r="B126" s="5"/>
      <c r="C126" s="13"/>
      <c r="D126" s="13"/>
      <c r="E126" s="13"/>
      <c r="F126" s="14"/>
    </row>
    <row r="127" spans="1:6" ht="15.75" x14ac:dyDescent="0.25">
      <c r="A127" s="5"/>
      <c r="B127" s="5"/>
      <c r="C127" s="13"/>
      <c r="D127" s="13"/>
      <c r="E127" s="13"/>
      <c r="F127" s="14"/>
    </row>
    <row r="128" spans="1:6" ht="15.75" x14ac:dyDescent="0.25">
      <c r="A128" s="5"/>
      <c r="B128" s="5"/>
      <c r="C128" s="13"/>
      <c r="D128" s="13"/>
      <c r="E128" s="13"/>
      <c r="F128" s="14"/>
    </row>
    <row r="129" spans="1:6" ht="15.75" x14ac:dyDescent="0.25">
      <c r="A129" s="5"/>
      <c r="B129" s="5"/>
      <c r="C129" s="13"/>
      <c r="D129" s="13"/>
      <c r="E129" s="13"/>
      <c r="F129" s="14"/>
    </row>
    <row r="130" spans="1:6" ht="15.75" x14ac:dyDescent="0.25">
      <c r="A130" s="5"/>
      <c r="B130" s="5"/>
      <c r="C130" s="13"/>
      <c r="D130" s="13"/>
      <c r="E130" s="13"/>
      <c r="F130" s="14"/>
    </row>
    <row r="131" spans="1:6" ht="15.75" x14ac:dyDescent="0.25">
      <c r="A131" s="5"/>
      <c r="B131" s="5"/>
      <c r="C131" s="13"/>
      <c r="D131" s="13"/>
      <c r="E131" s="13"/>
      <c r="F131" s="14"/>
    </row>
    <row r="132" spans="1:6" ht="15.75" x14ac:dyDescent="0.25">
      <c r="A132" s="5"/>
      <c r="B132" s="5"/>
      <c r="C132" s="13"/>
      <c r="D132" s="13"/>
      <c r="E132" s="13"/>
      <c r="F132" s="14"/>
    </row>
    <row r="133" spans="1:6" ht="15.75" x14ac:dyDescent="0.25">
      <c r="A133" s="5"/>
      <c r="B133" s="5"/>
      <c r="C133" s="13"/>
      <c r="D133" s="13"/>
      <c r="E133" s="13"/>
      <c r="F133" s="14"/>
    </row>
    <row r="134" spans="1:6" ht="15.75" x14ac:dyDescent="0.25">
      <c r="A134" s="5"/>
      <c r="B134" s="5"/>
      <c r="C134" s="13"/>
      <c r="D134" s="13"/>
      <c r="E134" s="13"/>
      <c r="F134" s="14"/>
    </row>
    <row r="135" spans="1:6" ht="15.75" x14ac:dyDescent="0.25">
      <c r="A135" s="5"/>
      <c r="B135" s="5"/>
      <c r="C135" s="13"/>
      <c r="D135" s="13"/>
      <c r="E135" s="13"/>
      <c r="F135" s="14"/>
    </row>
    <row r="136" spans="1:6" ht="15.75" x14ac:dyDescent="0.25">
      <c r="A136" s="5"/>
      <c r="B136" s="5"/>
      <c r="C136" s="13"/>
      <c r="D136" s="13"/>
      <c r="E136" s="13"/>
      <c r="F136" s="14"/>
    </row>
    <row r="137" spans="1:6" ht="15.75" x14ac:dyDescent="0.25">
      <c r="A137" s="5"/>
      <c r="B137" s="5"/>
      <c r="C137" s="13"/>
      <c r="D137" s="13"/>
      <c r="E137" s="13"/>
      <c r="F137" s="14"/>
    </row>
    <row r="138" spans="1:6" ht="15.75" x14ac:dyDescent="0.25">
      <c r="A138" s="5"/>
      <c r="B138" s="5"/>
      <c r="C138" s="13"/>
      <c r="D138" s="13"/>
      <c r="E138" s="13"/>
      <c r="F138" s="14"/>
    </row>
    <row r="139" spans="1:6" ht="15.75" x14ac:dyDescent="0.25">
      <c r="A139" s="5"/>
      <c r="B139" s="5"/>
      <c r="C139" s="13"/>
      <c r="D139" s="13"/>
      <c r="E139" s="13"/>
      <c r="F139" s="14"/>
    </row>
    <row r="140" spans="1:6" ht="15.75" x14ac:dyDescent="0.25">
      <c r="A140" s="5"/>
      <c r="B140" s="5"/>
      <c r="C140" s="13"/>
      <c r="D140" s="13"/>
      <c r="E140" s="13"/>
      <c r="F140" s="14"/>
    </row>
    <row r="141" spans="1:6" ht="15.75" x14ac:dyDescent="0.25">
      <c r="A141" s="5"/>
      <c r="B141" s="5"/>
      <c r="C141" s="13"/>
      <c r="D141" s="13"/>
      <c r="E141" s="13"/>
      <c r="F141" s="14"/>
    </row>
    <row r="142" spans="1:6" ht="15.75" x14ac:dyDescent="0.25">
      <c r="A142" s="5"/>
      <c r="B142" s="5"/>
      <c r="C142" s="13"/>
      <c r="D142" s="13"/>
      <c r="E142" s="13"/>
      <c r="F142" s="14"/>
    </row>
    <row r="143" spans="1:6" ht="15.75" x14ac:dyDescent="0.25">
      <c r="A143" s="5"/>
      <c r="B143" s="5"/>
      <c r="C143" s="13"/>
      <c r="D143" s="13"/>
      <c r="E143" s="13"/>
      <c r="F143" s="14"/>
    </row>
    <row r="144" spans="1:6" ht="15.75" x14ac:dyDescent="0.25">
      <c r="A144" s="5"/>
      <c r="B144" s="5"/>
      <c r="C144" s="13"/>
      <c r="D144" s="13"/>
      <c r="E144" s="13"/>
      <c r="F144" s="14"/>
    </row>
    <row r="145" spans="1:6" ht="15.75" x14ac:dyDescent="0.25">
      <c r="A145" s="5"/>
      <c r="B145" s="5"/>
      <c r="C145" s="13"/>
      <c r="D145" s="13"/>
      <c r="E145" s="13"/>
      <c r="F145" s="14"/>
    </row>
    <row r="146" spans="1:6" ht="15.75" x14ac:dyDescent="0.25">
      <c r="A146" s="5"/>
      <c r="B146" s="5"/>
      <c r="C146" s="13"/>
      <c r="D146" s="13"/>
      <c r="E146" s="13"/>
      <c r="F146" s="14"/>
    </row>
    <row r="147" spans="1:6" ht="15.75" x14ac:dyDescent="0.25">
      <c r="A147" s="5"/>
      <c r="B147" s="5"/>
      <c r="C147" s="13"/>
      <c r="D147" s="13"/>
      <c r="E147" s="13"/>
      <c r="F147" s="14"/>
    </row>
    <row r="148" spans="1:6" ht="15.75" x14ac:dyDescent="0.25">
      <c r="A148" s="5"/>
      <c r="B148" s="5"/>
      <c r="C148" s="13"/>
      <c r="D148" s="13"/>
      <c r="E148" s="13"/>
      <c r="F148" s="14"/>
    </row>
    <row r="149" spans="1:6" ht="15.75" x14ac:dyDescent="0.25">
      <c r="A149" s="5"/>
      <c r="B149" s="5"/>
      <c r="C149" s="13"/>
      <c r="D149" s="13"/>
      <c r="E149" s="13"/>
      <c r="F149" s="14"/>
    </row>
    <row r="150" spans="1:6" ht="15.75" x14ac:dyDescent="0.25">
      <c r="A150" s="5"/>
      <c r="B150" s="5"/>
      <c r="C150" s="13"/>
      <c r="D150" s="13"/>
      <c r="E150" s="13"/>
      <c r="F150" s="14"/>
    </row>
    <row r="151" spans="1:6" ht="15.75" x14ac:dyDescent="0.25">
      <c r="A151" s="5"/>
      <c r="B151" s="5"/>
      <c r="C151" s="13"/>
      <c r="D151" s="13"/>
      <c r="E151" s="13"/>
      <c r="F151" s="14"/>
    </row>
    <row r="152" spans="1:6" ht="15.75" x14ac:dyDescent="0.25">
      <c r="A152" s="5"/>
      <c r="B152" s="5"/>
      <c r="C152" s="13"/>
      <c r="D152" s="13"/>
      <c r="E152" s="13"/>
      <c r="F152" s="14"/>
    </row>
    <row r="153" spans="1:6" ht="15.75" x14ac:dyDescent="0.25">
      <c r="A153" s="5"/>
      <c r="B153" s="5"/>
      <c r="C153" s="13"/>
      <c r="D153" s="13"/>
      <c r="E153" s="13"/>
      <c r="F153" s="14"/>
    </row>
    <row r="154" spans="1:6" ht="15.75" x14ac:dyDescent="0.25">
      <c r="A154" s="5"/>
      <c r="B154" s="5"/>
      <c r="C154" s="13"/>
      <c r="D154" s="13"/>
      <c r="E154" s="13"/>
      <c r="F154" s="14"/>
    </row>
    <row r="155" spans="1:6" ht="15.75" x14ac:dyDescent="0.25">
      <c r="A155" s="5"/>
      <c r="B155" s="5"/>
      <c r="C155" s="13"/>
      <c r="D155" s="13"/>
      <c r="E155" s="13"/>
      <c r="F155" s="14"/>
    </row>
    <row r="156" spans="1:6" ht="15.75" x14ac:dyDescent="0.25">
      <c r="A156" s="5"/>
      <c r="B156" s="5"/>
      <c r="C156" s="13"/>
      <c r="D156" s="13"/>
      <c r="E156" s="13"/>
      <c r="F156" s="14"/>
    </row>
    <row r="157" spans="1:6" ht="15.75" x14ac:dyDescent="0.25">
      <c r="A157" s="5"/>
      <c r="B157" s="5"/>
      <c r="C157" s="13"/>
      <c r="D157" s="13"/>
      <c r="E157" s="13"/>
      <c r="F157" s="14"/>
    </row>
    <row r="158" spans="1:6" ht="15.75" x14ac:dyDescent="0.25">
      <c r="A158" s="5"/>
      <c r="B158" s="5"/>
      <c r="C158" s="13"/>
      <c r="D158" s="13"/>
      <c r="E158" s="13"/>
      <c r="F158" s="14"/>
    </row>
    <row r="159" spans="1:6" ht="15.75" x14ac:dyDescent="0.25">
      <c r="A159" s="5"/>
      <c r="B159" s="5"/>
      <c r="C159" s="13"/>
      <c r="D159" s="13"/>
      <c r="E159" s="13"/>
      <c r="F159" s="14"/>
    </row>
    <row r="160" spans="1:6" ht="15.75" x14ac:dyDescent="0.25">
      <c r="A160" s="5"/>
      <c r="B160" s="5"/>
      <c r="C160" s="13"/>
      <c r="D160" s="13"/>
      <c r="E160" s="13"/>
      <c r="F160" s="14"/>
    </row>
    <row r="161" spans="1:6" ht="15.75" x14ac:dyDescent="0.25">
      <c r="A161" s="5"/>
      <c r="B161" s="5"/>
      <c r="C161" s="13"/>
      <c r="D161" s="13"/>
      <c r="E161" s="13"/>
      <c r="F161" s="14"/>
    </row>
    <row r="162" spans="1:6" ht="15.75" x14ac:dyDescent="0.25">
      <c r="A162" s="5"/>
      <c r="B162" s="5"/>
      <c r="C162" s="13"/>
      <c r="D162" s="13"/>
      <c r="E162" s="13"/>
      <c r="F162" s="14"/>
    </row>
    <row r="163" spans="1:6" ht="15.75" x14ac:dyDescent="0.25">
      <c r="A163" s="5"/>
      <c r="B163" s="5"/>
      <c r="C163" s="13"/>
      <c r="D163" s="13"/>
      <c r="E163" s="13"/>
      <c r="F163" s="14"/>
    </row>
    <row r="164" spans="1:6" ht="15.75" x14ac:dyDescent="0.25">
      <c r="A164" s="5"/>
      <c r="B164" s="5"/>
      <c r="C164" s="13"/>
      <c r="D164" s="13"/>
      <c r="E164" s="13"/>
      <c r="F164" s="14"/>
    </row>
    <row r="165" spans="1:6" ht="15.75" x14ac:dyDescent="0.25">
      <c r="A165" s="5"/>
      <c r="B165" s="5"/>
      <c r="C165" s="13"/>
      <c r="D165" s="13"/>
      <c r="E165" s="13"/>
      <c r="F165" s="14"/>
    </row>
    <row r="166" spans="1:6" ht="15.75" x14ac:dyDescent="0.25">
      <c r="A166" s="5"/>
      <c r="B166" s="5"/>
      <c r="C166" s="13"/>
      <c r="D166" s="13"/>
      <c r="E166" s="13"/>
      <c r="F166" s="14"/>
    </row>
    <row r="167" spans="1:6" ht="15.75" x14ac:dyDescent="0.25">
      <c r="A167" s="5"/>
      <c r="B167" s="5"/>
      <c r="C167" s="13"/>
      <c r="D167" s="13"/>
      <c r="E167" s="13"/>
      <c r="F167" s="14"/>
    </row>
    <row r="168" spans="1:6" ht="15.75" x14ac:dyDescent="0.25">
      <c r="A168" s="5"/>
      <c r="B168" s="5"/>
      <c r="C168" s="13"/>
      <c r="D168" s="13"/>
      <c r="E168" s="13"/>
      <c r="F168" s="14"/>
    </row>
    <row r="169" spans="1:6" ht="15.75" x14ac:dyDescent="0.25">
      <c r="A169" s="5"/>
      <c r="B169" s="5"/>
      <c r="C169" s="13"/>
      <c r="D169" s="13"/>
      <c r="E169" s="13"/>
      <c r="F169" s="14"/>
    </row>
    <row r="170" spans="1:6" ht="15.75" x14ac:dyDescent="0.25">
      <c r="A170" s="5"/>
      <c r="B170" s="5"/>
      <c r="C170" s="13"/>
      <c r="D170" s="13"/>
      <c r="E170" s="13"/>
      <c r="F170" s="14"/>
    </row>
    <row r="171" spans="1:6" ht="15.75" x14ac:dyDescent="0.25">
      <c r="A171" s="5"/>
      <c r="B171" s="5"/>
      <c r="C171" s="13"/>
      <c r="D171" s="13"/>
      <c r="E171" s="13"/>
      <c r="F171" s="14"/>
    </row>
    <row r="172" spans="1:6" ht="15.75" x14ac:dyDescent="0.25">
      <c r="A172" s="5"/>
      <c r="B172" s="5"/>
      <c r="C172" s="13"/>
      <c r="D172" s="13"/>
      <c r="E172" s="13"/>
      <c r="F172" s="14"/>
    </row>
    <row r="173" spans="1:6" ht="15.75" x14ac:dyDescent="0.25">
      <c r="A173" s="5"/>
      <c r="B173" s="5"/>
      <c r="C173" s="13"/>
      <c r="D173" s="13"/>
      <c r="E173" s="13"/>
      <c r="F173" s="14"/>
    </row>
    <row r="174" spans="1:6" ht="15.75" x14ac:dyDescent="0.25">
      <c r="A174" s="5"/>
      <c r="B174" s="5"/>
      <c r="C174" s="13"/>
      <c r="D174" s="13"/>
      <c r="E174" s="13"/>
      <c r="F174" s="14"/>
    </row>
    <row r="175" spans="1:6" ht="15.75" x14ac:dyDescent="0.25">
      <c r="A175" s="5"/>
      <c r="B175" s="5"/>
      <c r="C175" s="13"/>
      <c r="D175" s="13"/>
      <c r="E175" s="13"/>
      <c r="F175" s="14"/>
    </row>
    <row r="176" spans="1:6" ht="15.75" x14ac:dyDescent="0.25">
      <c r="A176" s="5"/>
      <c r="B176" s="5"/>
      <c r="C176" s="13"/>
      <c r="D176" s="13"/>
      <c r="E176" s="13"/>
      <c r="F176" s="14"/>
    </row>
    <row r="177" spans="1:6" ht="15.75" x14ac:dyDescent="0.25">
      <c r="A177" s="5"/>
      <c r="B177" s="5"/>
      <c r="C177" s="13"/>
      <c r="D177" s="13"/>
      <c r="E177" s="13"/>
      <c r="F177" s="14"/>
    </row>
    <row r="178" spans="1:6" ht="15.75" x14ac:dyDescent="0.25">
      <c r="A178" s="5"/>
      <c r="B178" s="5"/>
      <c r="C178" s="13"/>
      <c r="D178" s="13"/>
      <c r="E178" s="13"/>
      <c r="F178" s="14"/>
    </row>
    <row r="179" spans="1:6" ht="15.75" x14ac:dyDescent="0.25">
      <c r="A179" s="5"/>
      <c r="B179" s="5"/>
      <c r="C179" s="13"/>
      <c r="D179" s="13"/>
      <c r="E179" s="13"/>
      <c r="F179" s="14"/>
    </row>
    <row r="180" spans="1:6" ht="15.75" x14ac:dyDescent="0.25">
      <c r="A180" s="5"/>
      <c r="B180" s="5"/>
      <c r="C180" s="13"/>
      <c r="D180" s="13"/>
      <c r="E180" s="13"/>
      <c r="F180" s="14"/>
    </row>
    <row r="181" spans="1:6" ht="15.75" x14ac:dyDescent="0.25">
      <c r="A181" s="5"/>
      <c r="B181" s="5"/>
      <c r="C181" s="13"/>
      <c r="D181" s="13"/>
      <c r="E181" s="13"/>
      <c r="F181" s="14"/>
    </row>
    <row r="182" spans="1:6" ht="15.75" x14ac:dyDescent="0.25">
      <c r="A182" s="5"/>
      <c r="B182" s="5"/>
      <c r="C182" s="13"/>
      <c r="D182" s="13"/>
      <c r="E182" s="13"/>
      <c r="F182" s="14"/>
    </row>
    <row r="183" spans="1:6" ht="15.75" x14ac:dyDescent="0.25">
      <c r="A183" s="5"/>
      <c r="B183" s="5"/>
      <c r="C183" s="13"/>
      <c r="D183" s="13"/>
      <c r="E183" s="13"/>
      <c r="F183" s="14"/>
    </row>
    <row r="184" spans="1:6" ht="15.75" x14ac:dyDescent="0.25">
      <c r="A184" s="5"/>
      <c r="B184" s="5"/>
      <c r="C184" s="13"/>
      <c r="D184" s="13"/>
      <c r="E184" s="13"/>
      <c r="F184" s="14"/>
    </row>
    <row r="185" spans="1:6" ht="15.75" x14ac:dyDescent="0.25">
      <c r="A185" s="5"/>
      <c r="B185" s="5"/>
      <c r="C185" s="13"/>
      <c r="D185" s="13"/>
      <c r="E185" s="13"/>
      <c r="F185" s="14"/>
    </row>
    <row r="186" spans="1:6" ht="15.75" x14ac:dyDescent="0.25">
      <c r="A186" s="5"/>
      <c r="B186" s="5"/>
      <c r="C186" s="13"/>
      <c r="D186" s="13"/>
      <c r="E186" s="13"/>
      <c r="F186" s="14"/>
    </row>
    <row r="187" spans="1:6" ht="15.75" x14ac:dyDescent="0.25">
      <c r="A187" s="5"/>
      <c r="B187" s="5"/>
      <c r="C187" s="13"/>
      <c r="D187" s="13"/>
      <c r="E187" s="13"/>
      <c r="F187" s="14"/>
    </row>
    <row r="188" spans="1:6" ht="15.75" x14ac:dyDescent="0.25">
      <c r="A188" s="5"/>
      <c r="B188" s="5"/>
      <c r="C188" s="13"/>
      <c r="D188" s="13"/>
      <c r="E188" s="13"/>
      <c r="F188" s="14"/>
    </row>
    <row r="189" spans="1:6" ht="15.75" x14ac:dyDescent="0.25">
      <c r="A189" s="5"/>
      <c r="B189" s="5"/>
      <c r="C189" s="13"/>
      <c r="D189" s="13"/>
      <c r="E189" s="13"/>
      <c r="F189" s="14"/>
    </row>
    <row r="190" spans="1:6" ht="15.75" x14ac:dyDescent="0.25">
      <c r="A190" s="5"/>
      <c r="B190" s="5"/>
      <c r="C190" s="13"/>
      <c r="D190" s="13"/>
      <c r="E190" s="13"/>
      <c r="F190" s="14"/>
    </row>
    <row r="191" spans="1:6" ht="15.75" x14ac:dyDescent="0.25">
      <c r="A191" s="5"/>
      <c r="B191" s="5"/>
      <c r="C191" s="13"/>
      <c r="D191" s="13"/>
      <c r="E191" s="13"/>
      <c r="F191" s="14"/>
    </row>
    <row r="192" spans="1:6" ht="15.75" x14ac:dyDescent="0.25">
      <c r="A192" s="5"/>
      <c r="B192" s="5"/>
      <c r="C192" s="13"/>
      <c r="D192" s="13"/>
      <c r="E192" s="13"/>
      <c r="F192" s="14"/>
    </row>
    <row r="193" spans="1:6" ht="15.75" x14ac:dyDescent="0.25">
      <c r="A193" s="5"/>
      <c r="B193" s="5"/>
      <c r="C193" s="13"/>
      <c r="D193" s="13"/>
      <c r="E193" s="13"/>
      <c r="F193" s="14"/>
    </row>
    <row r="194" spans="1:6" ht="15.75" x14ac:dyDescent="0.25">
      <c r="A194" s="5"/>
      <c r="B194" s="5"/>
      <c r="C194" s="13"/>
      <c r="D194" s="13"/>
      <c r="E194" s="13"/>
      <c r="F194" s="14"/>
    </row>
    <row r="195" spans="1:6" ht="15.75" x14ac:dyDescent="0.25">
      <c r="A195" s="5"/>
      <c r="B195" s="5"/>
      <c r="C195" s="13"/>
      <c r="D195" s="13"/>
      <c r="E195" s="13"/>
      <c r="F195" s="14"/>
    </row>
    <row r="196" spans="1:6" ht="15.75" x14ac:dyDescent="0.25">
      <c r="A196" s="5"/>
      <c r="B196" s="5"/>
      <c r="C196" s="13"/>
      <c r="D196" s="13"/>
      <c r="E196" s="13"/>
      <c r="F196" s="14"/>
    </row>
    <row r="197" spans="1:6" ht="15.75" x14ac:dyDescent="0.25">
      <c r="A197" s="5"/>
      <c r="B197" s="5"/>
      <c r="C197" s="13"/>
      <c r="D197" s="13"/>
      <c r="E197" s="13"/>
      <c r="F197" s="14"/>
    </row>
    <row r="198" spans="1:6" ht="15.75" x14ac:dyDescent="0.25">
      <c r="A198" s="5"/>
      <c r="B198" s="5"/>
      <c r="C198" s="13"/>
      <c r="D198" s="13"/>
      <c r="E198" s="13"/>
      <c r="F198" s="14"/>
    </row>
    <row r="199" spans="1:6" ht="15.75" x14ac:dyDescent="0.25">
      <c r="A199" s="5"/>
      <c r="B199" s="5"/>
      <c r="C199" s="13"/>
      <c r="D199" s="13"/>
      <c r="E199" s="13"/>
      <c r="F199" s="14"/>
    </row>
    <row r="200" spans="1:6" ht="15.75" x14ac:dyDescent="0.25">
      <c r="A200" s="5"/>
      <c r="B200" s="5"/>
      <c r="C200" s="13"/>
      <c r="D200" s="13"/>
      <c r="E200" s="13"/>
      <c r="F200" s="14"/>
    </row>
    <row r="201" spans="1:6" ht="15.75" x14ac:dyDescent="0.25">
      <c r="A201" s="5"/>
      <c r="B201" s="5"/>
      <c r="C201" s="13"/>
      <c r="D201" s="13"/>
      <c r="E201" s="13"/>
      <c r="F201" s="14"/>
    </row>
    <row r="202" spans="1:6" ht="15.75" x14ac:dyDescent="0.25">
      <c r="A202" s="5"/>
      <c r="B202" s="5"/>
      <c r="C202" s="13"/>
      <c r="D202" s="13"/>
      <c r="E202" s="13"/>
      <c r="F202" s="14"/>
    </row>
    <row r="203" spans="1:6" ht="15.75" x14ac:dyDescent="0.25">
      <c r="A203" s="5"/>
      <c r="B203" s="5"/>
      <c r="C203" s="13"/>
      <c r="D203" s="13"/>
      <c r="E203" s="13"/>
      <c r="F203" s="14"/>
    </row>
    <row r="204" spans="1:6" ht="15.75" x14ac:dyDescent="0.25">
      <c r="A204" s="5"/>
      <c r="B204" s="5"/>
      <c r="C204" s="13"/>
      <c r="D204" s="13"/>
      <c r="E204" s="13"/>
      <c r="F204" s="14"/>
    </row>
    <row r="205" spans="1:6" ht="15.75" x14ac:dyDescent="0.25">
      <c r="A205" s="5"/>
      <c r="B205" s="5"/>
      <c r="C205" s="13"/>
      <c r="D205" s="13"/>
      <c r="E205" s="13"/>
      <c r="F205" s="14"/>
    </row>
    <row r="206" spans="1:6" ht="15.75" x14ac:dyDescent="0.25">
      <c r="A206" s="5"/>
      <c r="B206" s="5"/>
      <c r="C206" s="13"/>
      <c r="D206" s="13"/>
      <c r="E206" s="13"/>
      <c r="F206" s="14"/>
    </row>
    <row r="207" spans="1:6" ht="15.75" x14ac:dyDescent="0.25">
      <c r="A207" s="5"/>
      <c r="B207" s="5"/>
      <c r="C207" s="13"/>
      <c r="D207" s="13"/>
      <c r="E207" s="13"/>
      <c r="F207" s="14"/>
    </row>
    <row r="208" spans="1:6" ht="15.75" x14ac:dyDescent="0.25">
      <c r="A208" s="5"/>
      <c r="B208" s="5"/>
      <c r="C208" s="13"/>
      <c r="D208" s="13"/>
      <c r="E208" s="13"/>
      <c r="F208" s="14"/>
    </row>
    <row r="209" spans="1:6" ht="15.75" x14ac:dyDescent="0.25">
      <c r="A209" s="5"/>
      <c r="B209" s="5"/>
      <c r="C209" s="13"/>
      <c r="D209" s="13"/>
      <c r="E209" s="13"/>
      <c r="F209" s="14"/>
    </row>
    <row r="210" spans="1:6" ht="15.75" x14ac:dyDescent="0.25">
      <c r="A210" s="5"/>
      <c r="B210" s="5"/>
      <c r="C210" s="13"/>
      <c r="D210" s="13"/>
      <c r="E210" s="13"/>
      <c r="F210" s="14"/>
    </row>
    <row r="211" spans="1:6" ht="15.75" x14ac:dyDescent="0.25">
      <c r="A211" s="5"/>
      <c r="B211" s="5"/>
      <c r="C211" s="13"/>
      <c r="D211" s="13"/>
      <c r="E211" s="13"/>
      <c r="F211" s="14"/>
    </row>
    <row r="212" spans="1:6" ht="15.75" x14ac:dyDescent="0.25">
      <c r="A212" s="5"/>
      <c r="B212" s="5"/>
      <c r="C212" s="13"/>
      <c r="D212" s="13"/>
      <c r="E212" s="13"/>
      <c r="F212" s="14"/>
    </row>
    <row r="213" spans="1:6" ht="15.75" x14ac:dyDescent="0.25">
      <c r="A213" s="5"/>
      <c r="B213" s="5"/>
      <c r="C213" s="13"/>
      <c r="D213" s="13"/>
      <c r="E213" s="13"/>
      <c r="F213" s="14"/>
    </row>
    <row r="214" spans="1:6" ht="15.75" x14ac:dyDescent="0.25">
      <c r="A214" s="5"/>
      <c r="B214" s="5"/>
      <c r="C214" s="13"/>
      <c r="D214" s="13"/>
      <c r="E214" s="13"/>
      <c r="F214" s="14"/>
    </row>
    <row r="215" spans="1:6" ht="15.75" x14ac:dyDescent="0.25">
      <c r="A215" s="5"/>
      <c r="B215" s="5"/>
      <c r="C215" s="13"/>
      <c r="D215" s="13"/>
      <c r="E215" s="13"/>
      <c r="F215" s="14"/>
    </row>
    <row r="216" spans="1:6" ht="15.75" x14ac:dyDescent="0.25">
      <c r="A216" s="5"/>
      <c r="B216" s="5"/>
      <c r="C216" s="13"/>
      <c r="D216" s="13"/>
      <c r="E216" s="13"/>
      <c r="F216" s="14"/>
    </row>
    <row r="217" spans="1:6" ht="15.75" x14ac:dyDescent="0.25">
      <c r="A217" s="5"/>
      <c r="B217" s="5"/>
      <c r="C217" s="13"/>
      <c r="D217" s="13"/>
      <c r="E217" s="13"/>
      <c r="F217" s="14"/>
    </row>
    <row r="218" spans="1:6" ht="15.75" x14ac:dyDescent="0.25">
      <c r="A218" s="5"/>
      <c r="B218" s="5"/>
      <c r="C218" s="13"/>
      <c r="D218" s="13"/>
      <c r="E218" s="13"/>
      <c r="F218" s="14"/>
    </row>
    <row r="219" spans="1:6" ht="15.75" x14ac:dyDescent="0.25">
      <c r="A219" s="5"/>
      <c r="B219" s="5"/>
      <c r="C219" s="13"/>
      <c r="D219" s="13"/>
      <c r="E219" s="13"/>
      <c r="F219" s="14"/>
    </row>
    <row r="220" spans="1:6" ht="15.75" x14ac:dyDescent="0.25">
      <c r="A220" s="5"/>
      <c r="B220" s="5"/>
      <c r="C220" s="13"/>
      <c r="D220" s="13"/>
      <c r="E220" s="13"/>
      <c r="F220" s="14"/>
    </row>
    <row r="221" spans="1:6" ht="15.75" x14ac:dyDescent="0.25">
      <c r="A221" s="5"/>
      <c r="B221" s="5"/>
      <c r="C221" s="13"/>
      <c r="D221" s="13"/>
      <c r="E221" s="13"/>
      <c r="F221" s="14"/>
    </row>
    <row r="222" spans="1:6" ht="15.75" x14ac:dyDescent="0.25">
      <c r="A222" s="5"/>
      <c r="B222" s="5"/>
      <c r="C222" s="13"/>
      <c r="D222" s="13"/>
      <c r="E222" s="13"/>
      <c r="F222" s="14"/>
    </row>
    <row r="223" spans="1:6" ht="15.75" x14ac:dyDescent="0.25">
      <c r="A223" s="5"/>
      <c r="B223" s="5"/>
      <c r="C223" s="13"/>
      <c r="D223" s="13"/>
      <c r="E223" s="13"/>
      <c r="F223" s="14"/>
    </row>
    <row r="224" spans="1:6" ht="15.75" x14ac:dyDescent="0.25">
      <c r="A224" s="5"/>
      <c r="B224" s="5"/>
      <c r="C224" s="13"/>
      <c r="D224" s="13"/>
      <c r="E224" s="13"/>
      <c r="F224" s="14"/>
    </row>
    <row r="225" spans="1:6" ht="15.75" x14ac:dyDescent="0.25">
      <c r="A225" s="5"/>
      <c r="B225" s="5"/>
      <c r="C225" s="13"/>
      <c r="D225" s="13"/>
      <c r="E225" s="13"/>
      <c r="F225" s="14"/>
    </row>
    <row r="226" spans="1:6" ht="15.75" x14ac:dyDescent="0.25">
      <c r="A226" s="5"/>
      <c r="B226" s="5"/>
      <c r="C226" s="13"/>
      <c r="D226" s="13"/>
      <c r="E226" s="13"/>
      <c r="F226" s="14"/>
    </row>
    <row r="227" spans="1:6" ht="15.75" x14ac:dyDescent="0.25">
      <c r="A227" s="5"/>
      <c r="B227" s="5"/>
      <c r="C227" s="13"/>
      <c r="D227" s="13"/>
      <c r="E227" s="13"/>
      <c r="F227" s="14"/>
    </row>
    <row r="228" spans="1:6" ht="15.75" x14ac:dyDescent="0.25">
      <c r="A228" s="5"/>
      <c r="B228" s="5"/>
      <c r="C228" s="13"/>
      <c r="D228" s="13"/>
      <c r="E228" s="13"/>
      <c r="F228" s="14"/>
    </row>
    <row r="229" spans="1:6" ht="15.75" x14ac:dyDescent="0.25">
      <c r="A229" s="5"/>
      <c r="B229" s="5"/>
      <c r="C229" s="13"/>
      <c r="D229" s="13"/>
      <c r="E229" s="13"/>
      <c r="F229" s="14"/>
    </row>
    <row r="230" spans="1:6" ht="15.75" x14ac:dyDescent="0.25">
      <c r="A230" s="5"/>
      <c r="B230" s="5"/>
      <c r="C230" s="13"/>
      <c r="D230" s="13"/>
      <c r="E230" s="13"/>
      <c r="F230" s="14"/>
    </row>
    <row r="231" spans="1:6" ht="15.75" x14ac:dyDescent="0.25">
      <c r="A231" s="5"/>
      <c r="B231" s="5"/>
      <c r="C231" s="13"/>
      <c r="D231" s="13"/>
      <c r="E231" s="13"/>
      <c r="F231" s="14"/>
    </row>
    <row r="232" spans="1:6" ht="15.75" x14ac:dyDescent="0.25">
      <c r="A232" s="5"/>
      <c r="B232" s="5"/>
      <c r="C232" s="13"/>
      <c r="D232" s="13"/>
      <c r="E232" s="13"/>
      <c r="F232" s="14"/>
    </row>
    <row r="233" spans="1:6" ht="15.75" x14ac:dyDescent="0.25">
      <c r="A233" s="5"/>
      <c r="B233" s="5"/>
      <c r="C233" s="13"/>
      <c r="D233" s="13"/>
      <c r="E233" s="13"/>
      <c r="F233" s="14"/>
    </row>
    <row r="234" spans="1:6" ht="15.75" x14ac:dyDescent="0.25">
      <c r="A234" s="5"/>
      <c r="B234" s="5"/>
      <c r="C234" s="13"/>
      <c r="D234" s="13"/>
      <c r="E234" s="13"/>
      <c r="F234" s="14"/>
    </row>
    <row r="235" spans="1:6" ht="15.75" x14ac:dyDescent="0.25">
      <c r="A235" s="5"/>
      <c r="B235" s="5"/>
      <c r="C235" s="13"/>
      <c r="D235" s="13"/>
      <c r="E235" s="13"/>
      <c r="F235" s="14"/>
    </row>
    <row r="236" spans="1:6" ht="15.75" x14ac:dyDescent="0.25">
      <c r="A236" s="5"/>
      <c r="B236" s="5"/>
      <c r="C236" s="13"/>
      <c r="D236" s="13"/>
      <c r="E236" s="13"/>
      <c r="F236" s="14"/>
    </row>
    <row r="237" spans="1:6" ht="15.75" x14ac:dyDescent="0.25">
      <c r="A237" s="5"/>
      <c r="B237" s="5"/>
      <c r="C237" s="13"/>
      <c r="D237" s="13"/>
      <c r="E237" s="13"/>
      <c r="F237" s="14"/>
    </row>
    <row r="238" spans="1:6" ht="15.75" x14ac:dyDescent="0.25">
      <c r="A238" s="5"/>
      <c r="B238" s="5"/>
      <c r="C238" s="13"/>
      <c r="D238" s="13"/>
      <c r="E238" s="13"/>
      <c r="F238" s="14"/>
    </row>
    <row r="239" spans="1:6" ht="15.75" x14ac:dyDescent="0.25">
      <c r="A239" s="5"/>
      <c r="B239" s="5"/>
      <c r="C239" s="13"/>
      <c r="D239" s="13"/>
      <c r="E239" s="13"/>
      <c r="F239" s="14"/>
    </row>
    <row r="240" spans="1:6" ht="15.75" x14ac:dyDescent="0.25">
      <c r="A240" s="5"/>
      <c r="B240" s="5"/>
      <c r="C240" s="13"/>
      <c r="D240" s="13"/>
      <c r="E240" s="13"/>
      <c r="F240" s="14"/>
    </row>
    <row r="241" spans="1:6" ht="15.75" x14ac:dyDescent="0.25">
      <c r="A241" s="5"/>
      <c r="B241" s="5"/>
      <c r="C241" s="13"/>
      <c r="D241" s="13"/>
      <c r="E241" s="13"/>
      <c r="F241" s="14"/>
    </row>
    <row r="242" spans="1:6" ht="15.75" x14ac:dyDescent="0.25">
      <c r="A242" s="5"/>
      <c r="B242" s="5"/>
      <c r="C242" s="13"/>
      <c r="D242" s="13"/>
      <c r="E242" s="13"/>
      <c r="F242" s="14"/>
    </row>
    <row r="243" spans="1:6" ht="15.75" x14ac:dyDescent="0.25">
      <c r="A243" s="5"/>
      <c r="B243" s="5"/>
      <c r="C243" s="13"/>
      <c r="D243" s="13"/>
      <c r="E243" s="13"/>
      <c r="F243" s="14"/>
    </row>
    <row r="244" spans="1:6" ht="15.75" x14ac:dyDescent="0.25">
      <c r="A244" s="5"/>
      <c r="B244" s="5"/>
      <c r="C244" s="13"/>
      <c r="D244" s="13"/>
      <c r="E244" s="13"/>
      <c r="F244" s="14"/>
    </row>
    <row r="245" spans="1:6" ht="15.75" x14ac:dyDescent="0.25">
      <c r="A245" s="5"/>
      <c r="B245" s="5"/>
      <c r="C245" s="13"/>
      <c r="D245" s="13"/>
      <c r="E245" s="13"/>
      <c r="F245" s="14"/>
    </row>
    <row r="246" spans="1:6" ht="15.75" x14ac:dyDescent="0.25">
      <c r="A246" s="5"/>
      <c r="B246" s="5"/>
      <c r="C246" s="13"/>
      <c r="D246" s="13"/>
      <c r="E246" s="13"/>
      <c r="F246" s="14"/>
    </row>
    <row r="247" spans="1:6" ht="15.75" x14ac:dyDescent="0.25">
      <c r="A247" s="5"/>
      <c r="B247" s="5"/>
      <c r="C247" s="13"/>
      <c r="D247" s="13"/>
      <c r="E247" s="13"/>
      <c r="F247" s="14"/>
    </row>
    <row r="248" spans="1:6" ht="15.75" x14ac:dyDescent="0.25">
      <c r="A248" s="5"/>
      <c r="B248" s="5"/>
      <c r="C248" s="13"/>
      <c r="D248" s="13"/>
      <c r="E248" s="13"/>
      <c r="F248" s="14"/>
    </row>
    <row r="249" spans="1:6" ht="15.75" x14ac:dyDescent="0.25">
      <c r="A249" s="5"/>
      <c r="B249" s="5"/>
      <c r="C249" s="13"/>
      <c r="D249" s="13"/>
      <c r="E249" s="13"/>
      <c r="F249" s="14"/>
    </row>
    <row r="250" spans="1:6" ht="15.75" x14ac:dyDescent="0.25">
      <c r="A250" s="5"/>
      <c r="B250" s="5"/>
      <c r="C250" s="13"/>
      <c r="D250" s="13"/>
      <c r="E250" s="13"/>
      <c r="F250" s="14"/>
    </row>
    <row r="251" spans="1:6" ht="15.75" x14ac:dyDescent="0.25">
      <c r="A251" s="5"/>
      <c r="B251" s="5"/>
      <c r="C251" s="13"/>
      <c r="D251" s="13"/>
      <c r="E251" s="13"/>
      <c r="F251" s="14"/>
    </row>
    <row r="252" spans="1:6" ht="15.75" x14ac:dyDescent="0.25">
      <c r="A252" s="5"/>
      <c r="B252" s="5"/>
      <c r="C252" s="13"/>
      <c r="D252" s="13"/>
      <c r="E252" s="13"/>
      <c r="F252" s="14"/>
    </row>
    <row r="253" spans="1:6" ht="15.75" x14ac:dyDescent="0.25">
      <c r="A253" s="5"/>
      <c r="B253" s="5"/>
      <c r="C253" s="13"/>
      <c r="D253" s="13"/>
      <c r="E253" s="13"/>
      <c r="F253" s="14"/>
    </row>
    <row r="254" spans="1:6" ht="15.75" x14ac:dyDescent="0.25">
      <c r="A254" s="5"/>
      <c r="B254" s="5"/>
      <c r="C254" s="13"/>
      <c r="D254" s="13"/>
      <c r="E254" s="13"/>
      <c r="F254" s="13"/>
    </row>
    <row r="255" spans="1:6" ht="15.75" x14ac:dyDescent="0.25">
      <c r="A255" s="5"/>
      <c r="B255" s="5"/>
      <c r="C255" s="13"/>
      <c r="D255" s="13"/>
      <c r="E255" s="13"/>
      <c r="F255" s="13"/>
    </row>
    <row r="256" spans="1:6" ht="15.75" x14ac:dyDescent="0.25">
      <c r="A256" s="5"/>
      <c r="B256" s="5"/>
      <c r="C256" s="13"/>
      <c r="D256" s="13"/>
      <c r="E256" s="13"/>
      <c r="F256" s="13"/>
    </row>
    <row r="257" spans="1:6" ht="15.75" x14ac:dyDescent="0.25">
      <c r="A257" s="5"/>
      <c r="B257" s="5"/>
      <c r="C257" s="13"/>
      <c r="D257" s="13"/>
      <c r="E257" s="13"/>
      <c r="F257" s="13"/>
    </row>
    <row r="258" spans="1:6" ht="15.75" x14ac:dyDescent="0.25">
      <c r="A258" s="5"/>
      <c r="B258" s="5"/>
      <c r="C258" s="13"/>
      <c r="D258" s="13"/>
      <c r="E258" s="13"/>
      <c r="F258" s="13"/>
    </row>
    <row r="259" spans="1:6" ht="15.75" x14ac:dyDescent="0.25">
      <c r="A259" s="5"/>
      <c r="B259" s="5"/>
      <c r="C259" s="13"/>
      <c r="D259" s="13"/>
      <c r="E259" s="13"/>
      <c r="F259" s="13"/>
    </row>
    <row r="260" spans="1:6" ht="15.75" x14ac:dyDescent="0.25">
      <c r="A260" s="5"/>
      <c r="B260" s="5"/>
      <c r="C260" s="13"/>
      <c r="D260" s="13"/>
      <c r="E260" s="13"/>
      <c r="F260" s="13"/>
    </row>
    <row r="261" spans="1:6" ht="15.75" x14ac:dyDescent="0.25">
      <c r="A261" s="5"/>
      <c r="B261" s="5"/>
      <c r="C261" s="13"/>
      <c r="D261" s="13"/>
      <c r="E261" s="13"/>
      <c r="F261" s="13"/>
    </row>
    <row r="262" spans="1:6" ht="15.75" x14ac:dyDescent="0.25">
      <c r="A262" s="5"/>
      <c r="B262" s="5"/>
      <c r="C262" s="13"/>
      <c r="D262" s="13"/>
      <c r="E262" s="13"/>
      <c r="F262" s="13"/>
    </row>
    <row r="263" spans="1:6" ht="15.75" x14ac:dyDescent="0.25">
      <c r="A263" s="5"/>
      <c r="B263" s="5"/>
      <c r="C263" s="13"/>
      <c r="D263" s="13"/>
      <c r="E263" s="13"/>
      <c r="F263" s="13"/>
    </row>
    <row r="264" spans="1:6" ht="15.75" x14ac:dyDescent="0.25">
      <c r="A264" s="5"/>
      <c r="B264" s="5"/>
      <c r="C264" s="13"/>
      <c r="D264" s="13"/>
      <c r="E264" s="13"/>
      <c r="F264" s="13"/>
    </row>
    <row r="265" spans="1:6" ht="15.75" x14ac:dyDescent="0.25">
      <c r="A265" s="5"/>
      <c r="B265" s="5"/>
      <c r="C265" s="13"/>
      <c r="D265" s="13"/>
      <c r="E265" s="13"/>
      <c r="F265" s="13"/>
    </row>
    <row r="266" spans="1:6" ht="15.75" x14ac:dyDescent="0.25">
      <c r="A266" s="5"/>
      <c r="B266" s="5"/>
      <c r="C266" s="13"/>
      <c r="D266" s="13"/>
      <c r="E266" s="13"/>
      <c r="F266" s="13"/>
    </row>
    <row r="267" spans="1:6" ht="15.75" x14ac:dyDescent="0.25">
      <c r="A267" s="5"/>
      <c r="B267" s="5"/>
      <c r="C267" s="13"/>
      <c r="D267" s="13"/>
      <c r="E267" s="13"/>
      <c r="F267" s="13"/>
    </row>
    <row r="268" spans="1:6" ht="15.75" x14ac:dyDescent="0.25">
      <c r="A268" s="5"/>
      <c r="B268" s="5"/>
      <c r="C268" s="13"/>
      <c r="D268" s="13"/>
      <c r="E268" s="13"/>
      <c r="F268" s="13"/>
    </row>
    <row r="269" spans="1:6" ht="15.75" x14ac:dyDescent="0.25">
      <c r="A269" s="5"/>
      <c r="B269" s="5"/>
      <c r="C269" s="13"/>
      <c r="D269" s="13"/>
      <c r="E269" s="13"/>
      <c r="F269" s="13"/>
    </row>
    <row r="270" spans="1:6" ht="15.75" x14ac:dyDescent="0.25">
      <c r="A270" s="5"/>
      <c r="B270" s="5"/>
      <c r="C270" s="13"/>
      <c r="D270" s="13"/>
      <c r="E270" s="13"/>
      <c r="F270" s="13"/>
    </row>
    <row r="271" spans="1:6" ht="15.75" x14ac:dyDescent="0.25">
      <c r="A271" s="5"/>
      <c r="B271" s="5"/>
      <c r="C271" s="13"/>
      <c r="D271" s="13"/>
      <c r="E271" s="13"/>
      <c r="F271" s="13"/>
    </row>
    <row r="272" spans="1:6" ht="15.75" x14ac:dyDescent="0.25">
      <c r="A272" s="5"/>
      <c r="B272" s="5"/>
      <c r="C272" s="13"/>
      <c r="D272" s="13"/>
      <c r="E272" s="13"/>
      <c r="F272" s="13"/>
    </row>
    <row r="273" spans="1:6" ht="15.75" x14ac:dyDescent="0.25">
      <c r="A273" s="5"/>
      <c r="B273" s="5"/>
      <c r="C273" s="13"/>
      <c r="D273" s="13"/>
      <c r="E273" s="13"/>
      <c r="F273" s="13"/>
    </row>
    <row r="274" spans="1:6" ht="15.75" x14ac:dyDescent="0.25">
      <c r="A274" s="5"/>
      <c r="B274" s="5"/>
      <c r="C274" s="13"/>
      <c r="D274" s="13"/>
      <c r="E274" s="13"/>
      <c r="F274" s="13"/>
    </row>
    <row r="275" spans="1:6" ht="15.75" x14ac:dyDescent="0.25">
      <c r="A275" s="5"/>
      <c r="B275" s="5"/>
      <c r="C275" s="13"/>
      <c r="D275" s="13"/>
      <c r="E275" s="13"/>
      <c r="F275" s="13"/>
    </row>
    <row r="276" spans="1:6" ht="15.75" x14ac:dyDescent="0.25">
      <c r="A276" s="5"/>
      <c r="B276" s="5"/>
      <c r="C276" s="13"/>
      <c r="D276" s="13"/>
      <c r="E276" s="13"/>
      <c r="F276" s="13"/>
    </row>
    <row r="277" spans="1:6" ht="15.75" x14ac:dyDescent="0.25">
      <c r="A277" s="5"/>
      <c r="B277" s="5"/>
      <c r="C277" s="13"/>
      <c r="D277" s="13"/>
      <c r="E277" s="13"/>
      <c r="F277" s="13"/>
    </row>
    <row r="278" spans="1:6" ht="15.75" x14ac:dyDescent="0.25">
      <c r="A278" s="5"/>
      <c r="B278" s="5"/>
      <c r="C278" s="13"/>
      <c r="D278" s="13"/>
      <c r="E278" s="13"/>
      <c r="F278" s="13"/>
    </row>
    <row r="279" spans="1:6" ht="15.75" x14ac:dyDescent="0.25">
      <c r="A279" s="5"/>
      <c r="B279" s="5"/>
      <c r="C279" s="13"/>
      <c r="D279" s="13"/>
      <c r="E279" s="13"/>
      <c r="F279" s="13"/>
    </row>
    <row r="280" spans="1:6" ht="15.75" x14ac:dyDescent="0.25">
      <c r="A280" s="5"/>
      <c r="B280" s="5"/>
      <c r="C280" s="13"/>
      <c r="D280" s="13"/>
      <c r="E280" s="13"/>
      <c r="F280" s="13"/>
    </row>
    <row r="281" spans="1:6" ht="15.75" x14ac:dyDescent="0.25">
      <c r="A281" s="5"/>
      <c r="B281" s="5"/>
      <c r="C281" s="13"/>
      <c r="D281" s="13"/>
      <c r="E281" s="13"/>
      <c r="F281" s="13"/>
    </row>
    <row r="282" spans="1:6" ht="15.75" x14ac:dyDescent="0.25">
      <c r="A282" s="5"/>
      <c r="B282" s="5"/>
      <c r="C282" s="13"/>
      <c r="D282" s="13"/>
      <c r="E282" s="13"/>
      <c r="F282" s="13"/>
    </row>
    <row r="283" spans="1:6" ht="15.75" x14ac:dyDescent="0.25">
      <c r="A283" s="5"/>
      <c r="B283" s="5"/>
      <c r="C283" s="13"/>
      <c r="D283" s="13"/>
      <c r="E283" s="13"/>
      <c r="F283" s="13"/>
    </row>
    <row r="284" spans="1:6" ht="15.75" x14ac:dyDescent="0.25">
      <c r="A284" s="5"/>
      <c r="B284" s="5"/>
      <c r="C284" s="13"/>
      <c r="D284" s="13"/>
      <c r="E284" s="13"/>
      <c r="F284" s="13"/>
    </row>
    <row r="285" spans="1:6" ht="15.75" x14ac:dyDescent="0.25">
      <c r="A285" s="5"/>
      <c r="B285" s="5"/>
      <c r="C285" s="13"/>
      <c r="D285" s="13"/>
      <c r="E285" s="13"/>
      <c r="F285" s="13"/>
    </row>
    <row r="286" spans="1:6" ht="15.75" x14ac:dyDescent="0.25">
      <c r="A286" s="5"/>
      <c r="B286" s="5"/>
      <c r="C286" s="13"/>
      <c r="D286" s="13"/>
      <c r="E286" s="13"/>
      <c r="F286" s="13"/>
    </row>
    <row r="287" spans="1:6" ht="15.75" x14ac:dyDescent="0.25">
      <c r="A287" s="5"/>
      <c r="B287" s="5"/>
      <c r="C287" s="13"/>
      <c r="D287" s="13"/>
      <c r="E287" s="13"/>
      <c r="F287" s="13"/>
    </row>
    <row r="288" spans="1:6" ht="15.75" x14ac:dyDescent="0.25">
      <c r="A288" s="5"/>
      <c r="B288" s="5"/>
      <c r="C288" s="13"/>
      <c r="D288" s="13"/>
      <c r="E288" s="13"/>
      <c r="F288" s="13"/>
    </row>
    <row r="289" spans="1:6" ht="15.75" x14ac:dyDescent="0.25">
      <c r="A289" s="5"/>
      <c r="B289" s="5"/>
      <c r="C289" s="13"/>
      <c r="D289" s="13"/>
      <c r="E289" s="13"/>
      <c r="F289" s="13"/>
    </row>
    <row r="290" spans="1:6" ht="15.75" x14ac:dyDescent="0.25">
      <c r="A290" s="5"/>
      <c r="B290" s="5"/>
      <c r="C290" s="13"/>
      <c r="D290" s="13"/>
      <c r="E290" s="13"/>
      <c r="F290" s="13"/>
    </row>
    <row r="291" spans="1:6" ht="15.75" x14ac:dyDescent="0.25">
      <c r="A291" s="5"/>
      <c r="B291" s="5"/>
      <c r="C291" s="13"/>
      <c r="D291" s="13"/>
      <c r="E291" s="13"/>
      <c r="F291" s="13"/>
    </row>
    <row r="292" spans="1:6" ht="15.75" x14ac:dyDescent="0.25">
      <c r="A292" s="5"/>
      <c r="B292" s="5"/>
      <c r="C292" s="13"/>
      <c r="D292" s="13"/>
      <c r="E292" s="13"/>
      <c r="F292" s="13"/>
    </row>
    <row r="293" spans="1:6" ht="15.75" x14ac:dyDescent="0.25">
      <c r="A293" s="5"/>
      <c r="B293" s="5"/>
      <c r="C293" s="13"/>
      <c r="D293" s="13"/>
      <c r="E293" s="13"/>
      <c r="F293" s="13"/>
    </row>
    <row r="294" spans="1:6" ht="15.75" x14ac:dyDescent="0.25">
      <c r="A294" s="5"/>
      <c r="B294" s="5"/>
      <c r="C294" s="13"/>
      <c r="D294" s="13"/>
      <c r="E294" s="13"/>
      <c r="F294" s="13"/>
    </row>
    <row r="295" spans="1:6" ht="15.75" x14ac:dyDescent="0.25">
      <c r="A295" s="5"/>
      <c r="B295" s="5"/>
      <c r="C295" s="13"/>
      <c r="D295" s="13"/>
      <c r="E295" s="13"/>
      <c r="F295" s="13"/>
    </row>
    <row r="296" spans="1:6" ht="15.75" x14ac:dyDescent="0.25">
      <c r="A296" s="5"/>
      <c r="B296" s="5"/>
      <c r="C296" s="13"/>
      <c r="D296" s="13"/>
      <c r="E296" s="13"/>
      <c r="F296" s="13"/>
    </row>
    <row r="297" spans="1:6" ht="15.75" x14ac:dyDescent="0.25">
      <c r="A297" s="5"/>
      <c r="B297" s="5"/>
      <c r="C297" s="13"/>
      <c r="D297" s="13"/>
      <c r="E297" s="13"/>
      <c r="F297" s="13"/>
    </row>
    <row r="298" spans="1:6" ht="15.75" x14ac:dyDescent="0.25">
      <c r="A298" s="5"/>
      <c r="B298" s="5"/>
      <c r="C298" s="13"/>
      <c r="D298" s="13"/>
      <c r="E298" s="13"/>
      <c r="F298" s="13"/>
    </row>
    <row r="299" spans="1:6" ht="15.75" x14ac:dyDescent="0.25">
      <c r="A299" s="5"/>
      <c r="B299" s="5"/>
      <c r="C299" s="13"/>
      <c r="D299" s="13"/>
      <c r="E299" s="13"/>
      <c r="F299" s="13"/>
    </row>
    <row r="300" spans="1:6" ht="15.75" x14ac:dyDescent="0.25">
      <c r="A300" s="5"/>
      <c r="B300" s="5"/>
      <c r="C300" s="13"/>
      <c r="D300" s="13"/>
      <c r="E300" s="13"/>
      <c r="F300" s="13"/>
    </row>
    <row r="301" spans="1:6" ht="15.75" x14ac:dyDescent="0.25">
      <c r="A301" s="5"/>
      <c r="B301" s="5"/>
      <c r="C301" s="13"/>
      <c r="D301" s="13"/>
      <c r="E301" s="13"/>
      <c r="F301" s="13"/>
    </row>
    <row r="302" spans="1:6" ht="15.75" x14ac:dyDescent="0.25">
      <c r="A302" s="5"/>
      <c r="B302" s="5"/>
      <c r="C302" s="13"/>
      <c r="D302" s="13"/>
      <c r="E302" s="13"/>
      <c r="F302" s="13"/>
    </row>
    <row r="303" spans="1:6" ht="15.75" x14ac:dyDescent="0.25">
      <c r="A303" s="5"/>
      <c r="B303" s="5"/>
      <c r="C303" s="13"/>
      <c r="D303" s="13"/>
      <c r="E303" s="13"/>
      <c r="F303" s="13"/>
    </row>
    <row r="304" spans="1:6" ht="15.75" x14ac:dyDescent="0.25">
      <c r="A304" s="5"/>
      <c r="B304" s="5"/>
      <c r="C304" s="13"/>
      <c r="D304" s="13"/>
      <c r="E304" s="13"/>
      <c r="F304" s="13"/>
    </row>
    <row r="305" spans="1:6" ht="15.75" x14ac:dyDescent="0.25">
      <c r="A305" s="5"/>
      <c r="B305" s="5"/>
      <c r="C305" s="13"/>
      <c r="D305" s="13"/>
      <c r="E305" s="13"/>
      <c r="F305" s="13"/>
    </row>
    <row r="306" spans="1:6" ht="15.75" x14ac:dyDescent="0.25">
      <c r="A306" s="5"/>
      <c r="B306" s="5"/>
      <c r="C306" s="13"/>
      <c r="D306" s="13"/>
      <c r="E306" s="13"/>
      <c r="F306" s="13"/>
    </row>
    <row r="307" spans="1:6" ht="15.75" x14ac:dyDescent="0.25">
      <c r="A307" s="5"/>
      <c r="B307" s="5"/>
      <c r="C307" s="13"/>
      <c r="D307" s="13"/>
      <c r="E307" s="13"/>
      <c r="F307" s="13"/>
    </row>
    <row r="308" spans="1:6" ht="15.75" x14ac:dyDescent="0.25">
      <c r="A308" s="5"/>
      <c r="B308" s="5"/>
      <c r="C308" s="13"/>
      <c r="D308" s="13"/>
      <c r="E308" s="13"/>
      <c r="F308" s="13"/>
    </row>
    <row r="309" spans="1:6" ht="15.75" x14ac:dyDescent="0.25">
      <c r="A309" s="5"/>
      <c r="B309" s="5"/>
      <c r="C309" s="13"/>
      <c r="D309" s="13"/>
      <c r="E309" s="13"/>
      <c r="F309" s="13"/>
    </row>
    <row r="310" spans="1:6" ht="15.75" x14ac:dyDescent="0.25">
      <c r="A310" s="5"/>
      <c r="B310" s="5"/>
      <c r="C310" s="13"/>
      <c r="D310" s="13"/>
      <c r="E310" s="13"/>
      <c r="F310" s="13"/>
    </row>
    <row r="311" spans="1:6" ht="15.75" x14ac:dyDescent="0.25">
      <c r="A311" s="5"/>
      <c r="B311" s="5"/>
      <c r="C311" s="13"/>
      <c r="D311" s="13"/>
      <c r="E311" s="13"/>
      <c r="F311" s="13"/>
    </row>
    <row r="312" spans="1:6" ht="15.75" x14ac:dyDescent="0.25">
      <c r="A312" s="5"/>
      <c r="B312" s="5"/>
      <c r="C312" s="13"/>
      <c r="D312" s="13"/>
      <c r="E312" s="13"/>
      <c r="F312" s="13"/>
    </row>
    <row r="313" spans="1:6" ht="15.75" x14ac:dyDescent="0.25">
      <c r="A313" s="5"/>
      <c r="B313" s="5"/>
      <c r="C313" s="13"/>
      <c r="D313" s="13"/>
      <c r="E313" s="13"/>
      <c r="F313" s="13"/>
    </row>
    <row r="314" spans="1:6" ht="15.75" x14ac:dyDescent="0.25">
      <c r="A314" s="5"/>
      <c r="B314" s="5"/>
      <c r="C314" s="13"/>
      <c r="D314" s="13"/>
      <c r="E314" s="13"/>
      <c r="F314" s="13"/>
    </row>
    <row r="315" spans="1:6" ht="15.75" x14ac:dyDescent="0.25">
      <c r="A315" s="5"/>
      <c r="B315" s="5"/>
      <c r="C315" s="13"/>
      <c r="D315" s="13"/>
      <c r="E315" s="13"/>
      <c r="F315" s="13"/>
    </row>
    <row r="316" spans="1:6" ht="15.75" x14ac:dyDescent="0.25">
      <c r="A316" s="5"/>
      <c r="B316" s="5"/>
      <c r="C316" s="13"/>
      <c r="D316" s="13"/>
      <c r="E316" s="13"/>
      <c r="F316" s="13"/>
    </row>
    <row r="317" spans="1:6" ht="15.75" x14ac:dyDescent="0.25">
      <c r="A317" s="5"/>
      <c r="B317" s="5"/>
      <c r="C317" s="13"/>
      <c r="D317" s="13"/>
      <c r="E317" s="13"/>
      <c r="F317" s="13"/>
    </row>
    <row r="318" spans="1:6" ht="15.75" x14ac:dyDescent="0.25">
      <c r="A318" s="5"/>
      <c r="B318" s="5"/>
      <c r="C318" s="13"/>
      <c r="D318" s="13"/>
      <c r="E318" s="13"/>
      <c r="F318" s="13"/>
    </row>
    <row r="319" spans="1:6" ht="15.75" x14ac:dyDescent="0.25">
      <c r="A319" s="5"/>
      <c r="B319" s="5"/>
      <c r="C319" s="13"/>
      <c r="D319" s="13"/>
      <c r="E319" s="13"/>
      <c r="F319" s="13"/>
    </row>
    <row r="320" spans="1:6" ht="15.75" x14ac:dyDescent="0.25">
      <c r="A320" s="5"/>
      <c r="B320" s="5"/>
      <c r="C320" s="13"/>
      <c r="D320" s="13"/>
      <c r="E320" s="13"/>
      <c r="F320" s="13"/>
    </row>
    <row r="321" spans="1:6" ht="15.75" x14ac:dyDescent="0.25">
      <c r="A321" s="5"/>
      <c r="B321" s="5"/>
      <c r="C321" s="13"/>
      <c r="D321" s="13"/>
      <c r="E321" s="13"/>
      <c r="F321" s="13"/>
    </row>
    <row r="322" spans="1:6" ht="15.75" x14ac:dyDescent="0.25">
      <c r="A322" s="5"/>
      <c r="B322" s="5"/>
      <c r="C322" s="13"/>
      <c r="D322" s="13"/>
      <c r="E322" s="13"/>
      <c r="F322" s="13"/>
    </row>
    <row r="323" spans="1:6" ht="15.75" x14ac:dyDescent="0.25">
      <c r="A323" s="5"/>
      <c r="B323" s="5"/>
      <c r="C323" s="13"/>
      <c r="D323" s="13"/>
      <c r="E323" s="13"/>
      <c r="F323" s="13"/>
    </row>
    <row r="324" spans="1:6" ht="15.75" x14ac:dyDescent="0.25">
      <c r="A324" s="5"/>
      <c r="B324" s="5"/>
      <c r="C324" s="13"/>
      <c r="D324" s="13"/>
      <c r="E324" s="13"/>
      <c r="F324" s="13"/>
    </row>
    <row r="325" spans="1:6" ht="15.75" x14ac:dyDescent="0.25">
      <c r="A325" s="5"/>
      <c r="B325" s="5"/>
      <c r="C325" s="13"/>
      <c r="D325" s="13"/>
      <c r="E325" s="13"/>
      <c r="F325" s="13"/>
    </row>
    <row r="326" spans="1:6" ht="15.75" x14ac:dyDescent="0.25">
      <c r="A326" s="5"/>
      <c r="B326" s="5"/>
      <c r="C326" s="13"/>
      <c r="D326" s="13"/>
      <c r="E326" s="13"/>
      <c r="F326" s="13"/>
    </row>
    <row r="327" spans="1:6" ht="15.75" x14ac:dyDescent="0.25">
      <c r="A327" s="5"/>
      <c r="B327" s="5"/>
      <c r="C327" s="13"/>
      <c r="D327" s="13"/>
      <c r="E327" s="13"/>
      <c r="F327" s="13"/>
    </row>
    <row r="328" spans="1:6" ht="15.75" x14ac:dyDescent="0.25">
      <c r="A328" s="5"/>
      <c r="B328" s="5"/>
      <c r="C328" s="13"/>
      <c r="D328" s="13"/>
      <c r="E328" s="13"/>
      <c r="F328" s="13"/>
    </row>
    <row r="329" spans="1:6" ht="15.75" x14ac:dyDescent="0.25">
      <c r="A329" s="5"/>
      <c r="B329" s="5"/>
      <c r="C329" s="13"/>
      <c r="D329" s="13"/>
      <c r="E329" s="13"/>
      <c r="F329" s="13"/>
    </row>
    <row r="330" spans="1:6" ht="15.75" x14ac:dyDescent="0.25">
      <c r="A330" s="5"/>
      <c r="B330" s="5"/>
      <c r="C330" s="13"/>
      <c r="D330" s="13"/>
      <c r="E330" s="13"/>
      <c r="F330" s="13"/>
    </row>
    <row r="331" spans="1:6" ht="15.75" x14ac:dyDescent="0.25">
      <c r="A331" s="5"/>
      <c r="B331" s="5"/>
      <c r="C331" s="13"/>
      <c r="D331" s="13"/>
      <c r="E331" s="13"/>
      <c r="F331" s="13"/>
    </row>
    <row r="332" spans="1:6" ht="15.75" x14ac:dyDescent="0.25">
      <c r="A332" s="5"/>
      <c r="B332" s="5"/>
      <c r="C332" s="13"/>
      <c r="D332" s="13"/>
      <c r="E332" s="13"/>
      <c r="F332" s="13"/>
    </row>
    <row r="333" spans="1:6" ht="15.75" x14ac:dyDescent="0.25">
      <c r="A333" s="5"/>
      <c r="B333" s="5"/>
      <c r="C333" s="13"/>
      <c r="D333" s="13"/>
      <c r="E333" s="13"/>
      <c r="F333" s="13"/>
    </row>
    <row r="334" spans="1:6" ht="15.75" x14ac:dyDescent="0.25">
      <c r="A334" s="5"/>
      <c r="B334" s="5"/>
      <c r="C334" s="13"/>
      <c r="D334" s="13"/>
      <c r="E334" s="13"/>
      <c r="F334" s="13"/>
    </row>
    <row r="335" spans="1:6" ht="15.75" x14ac:dyDescent="0.25">
      <c r="A335" s="5"/>
      <c r="B335" s="5"/>
      <c r="C335" s="13"/>
      <c r="D335" s="13"/>
      <c r="E335" s="13"/>
      <c r="F335" s="13"/>
    </row>
    <row r="336" spans="1:6" ht="15.75" x14ac:dyDescent="0.25">
      <c r="A336" s="5"/>
      <c r="B336" s="5"/>
      <c r="C336" s="13"/>
      <c r="D336" s="13"/>
      <c r="E336" s="13"/>
      <c r="F336" s="13"/>
    </row>
    <row r="337" spans="1:6" ht="15.75" x14ac:dyDescent="0.25">
      <c r="A337" s="5"/>
      <c r="B337" s="5"/>
      <c r="C337" s="13"/>
      <c r="D337" s="13"/>
      <c r="E337" s="13"/>
      <c r="F337" s="13"/>
    </row>
    <row r="338" spans="1:6" ht="15.75" x14ac:dyDescent="0.25">
      <c r="A338" s="5"/>
      <c r="B338" s="5"/>
      <c r="C338" s="13"/>
      <c r="D338" s="13"/>
      <c r="E338" s="13"/>
      <c r="F338" s="13"/>
    </row>
    <row r="339" spans="1:6" ht="15.75" x14ac:dyDescent="0.25">
      <c r="A339" s="5"/>
      <c r="B339" s="5"/>
      <c r="C339" s="13"/>
      <c r="D339" s="13"/>
      <c r="E339" s="13"/>
      <c r="F339" s="13"/>
    </row>
    <row r="340" spans="1:6" ht="15.75" x14ac:dyDescent="0.25">
      <c r="A340" s="5"/>
      <c r="B340" s="5"/>
      <c r="C340" s="13"/>
      <c r="D340" s="13"/>
      <c r="E340" s="13"/>
      <c r="F340" s="13"/>
    </row>
    <row r="341" spans="1:6" ht="15.75" x14ac:dyDescent="0.25">
      <c r="A341" s="5"/>
      <c r="B341" s="5"/>
      <c r="C341" s="13"/>
      <c r="D341" s="13"/>
      <c r="E341" s="13"/>
      <c r="F341" s="13"/>
    </row>
    <row r="342" spans="1:6" ht="15.75" x14ac:dyDescent="0.25">
      <c r="A342" s="5"/>
      <c r="B342" s="5"/>
      <c r="C342" s="13"/>
      <c r="D342" s="13"/>
      <c r="E342" s="13"/>
      <c r="F342" s="13"/>
    </row>
    <row r="343" spans="1:6" ht="15.75" x14ac:dyDescent="0.25">
      <c r="A343" s="5"/>
      <c r="B343" s="5"/>
      <c r="C343" s="13"/>
      <c r="D343" s="13"/>
      <c r="E343" s="13"/>
      <c r="F343" s="13"/>
    </row>
    <row r="344" spans="1:6" ht="15.75" x14ac:dyDescent="0.25">
      <c r="A344" s="5"/>
      <c r="B344" s="5"/>
      <c r="C344" s="13"/>
      <c r="D344" s="13"/>
      <c r="E344" s="13"/>
      <c r="F344" s="13"/>
    </row>
    <row r="345" spans="1:6" ht="15.75" x14ac:dyDescent="0.25">
      <c r="A345" s="5"/>
      <c r="B345" s="5"/>
      <c r="C345" s="13"/>
      <c r="D345" s="13"/>
      <c r="E345" s="13"/>
      <c r="F345" s="13"/>
    </row>
    <row r="346" spans="1:6" ht="15.75" x14ac:dyDescent="0.25">
      <c r="A346" s="5"/>
      <c r="B346" s="5"/>
      <c r="C346" s="13"/>
      <c r="D346" s="13"/>
      <c r="E346" s="13"/>
      <c r="F346" s="13"/>
    </row>
    <row r="347" spans="1:6" ht="15.75" x14ac:dyDescent="0.25">
      <c r="A347" s="5"/>
      <c r="B347" s="5"/>
      <c r="C347" s="13"/>
      <c r="D347" s="13"/>
      <c r="E347" s="13"/>
      <c r="F347" s="13"/>
    </row>
    <row r="348" spans="1:6" ht="15.75" x14ac:dyDescent="0.25">
      <c r="A348" s="5"/>
      <c r="B348" s="5"/>
      <c r="C348" s="13"/>
      <c r="D348" s="13"/>
      <c r="E348" s="13"/>
      <c r="F348" s="13"/>
    </row>
    <row r="349" spans="1:6" ht="15.75" x14ac:dyDescent="0.25">
      <c r="A349" s="5"/>
      <c r="B349" s="5"/>
      <c r="C349" s="13"/>
      <c r="D349" s="13"/>
      <c r="E349" s="13"/>
      <c r="F349" s="13"/>
    </row>
    <row r="350" spans="1:6" ht="15.75" x14ac:dyDescent="0.25">
      <c r="A350" s="5"/>
      <c r="B350" s="5"/>
      <c r="C350" s="13"/>
      <c r="D350" s="13"/>
      <c r="E350" s="13"/>
      <c r="F350" s="13"/>
    </row>
    <row r="351" spans="1:6" ht="15.75" x14ac:dyDescent="0.25">
      <c r="A351" s="5"/>
      <c r="B351" s="5"/>
      <c r="C351" s="13"/>
      <c r="D351" s="13"/>
      <c r="E351" s="13"/>
      <c r="F351" s="13"/>
    </row>
    <row r="352" spans="1:6" ht="15.75" x14ac:dyDescent="0.25">
      <c r="A352" s="5"/>
      <c r="B352" s="5"/>
      <c r="C352" s="13"/>
      <c r="D352" s="13"/>
      <c r="E352" s="13"/>
      <c r="F352" s="13"/>
    </row>
    <row r="353" spans="1:6" ht="15.75" x14ac:dyDescent="0.25">
      <c r="A353" s="5"/>
      <c r="B353" s="5"/>
      <c r="C353" s="13"/>
      <c r="D353" s="13"/>
      <c r="E353" s="13"/>
      <c r="F353" s="13"/>
    </row>
    <row r="354" spans="1:6" ht="15.75" x14ac:dyDescent="0.25">
      <c r="A354" s="5"/>
      <c r="B354" s="5"/>
      <c r="C354" s="13"/>
      <c r="D354" s="13"/>
      <c r="E354" s="13"/>
      <c r="F354" s="13"/>
    </row>
    <row r="355" spans="1:6" ht="15.75" x14ac:dyDescent="0.25">
      <c r="A355" s="5"/>
      <c r="B355" s="5"/>
      <c r="C355" s="13"/>
      <c r="D355" s="13"/>
      <c r="E355" s="13"/>
      <c r="F355" s="13"/>
    </row>
    <row r="356" spans="1:6" ht="15.75" x14ac:dyDescent="0.25">
      <c r="A356" s="5"/>
      <c r="B356" s="5"/>
      <c r="C356" s="13"/>
      <c r="D356" s="13"/>
      <c r="E356" s="13"/>
      <c r="F356" s="13"/>
    </row>
    <row r="357" spans="1:6" ht="15.75" x14ac:dyDescent="0.25">
      <c r="A357" s="5"/>
      <c r="B357" s="5"/>
      <c r="C357" s="13"/>
      <c r="D357" s="13"/>
      <c r="E357" s="13"/>
      <c r="F357" s="13"/>
    </row>
    <row r="358" spans="1:6" ht="15.75" x14ac:dyDescent="0.25">
      <c r="A358" s="5"/>
      <c r="B358" s="5"/>
      <c r="C358" s="13"/>
      <c r="D358" s="13"/>
      <c r="E358" s="13"/>
      <c r="F358" s="13"/>
    </row>
    <row r="359" spans="1:6" ht="15.75" x14ac:dyDescent="0.25">
      <c r="A359" s="5"/>
      <c r="B359" s="5"/>
      <c r="C359" s="13"/>
      <c r="D359" s="13"/>
      <c r="E359" s="13"/>
      <c r="F359" s="13"/>
    </row>
    <row r="360" spans="1:6" ht="15.75" x14ac:dyDescent="0.25">
      <c r="A360" s="5"/>
      <c r="B360" s="5"/>
      <c r="C360" s="13"/>
      <c r="D360" s="13"/>
      <c r="E360" s="13"/>
      <c r="F360" s="13"/>
    </row>
    <row r="361" spans="1:6" ht="15.75" x14ac:dyDescent="0.25">
      <c r="A361" s="5"/>
      <c r="B361" s="5"/>
      <c r="C361" s="13"/>
      <c r="D361" s="13"/>
      <c r="E361" s="13"/>
      <c r="F361" s="13"/>
    </row>
    <row r="362" spans="1:6" ht="15.75" x14ac:dyDescent="0.25">
      <c r="A362" s="5"/>
      <c r="B362" s="5"/>
      <c r="C362" s="13"/>
      <c r="D362" s="13"/>
      <c r="E362" s="13"/>
      <c r="F362" s="13"/>
    </row>
    <row r="363" spans="1:6" ht="15.75" x14ac:dyDescent="0.25">
      <c r="A363" s="5"/>
      <c r="B363" s="5"/>
      <c r="C363" s="13"/>
      <c r="D363" s="13"/>
      <c r="E363" s="13"/>
      <c r="F363" s="13"/>
    </row>
    <row r="364" spans="1:6" ht="15.75" x14ac:dyDescent="0.25">
      <c r="A364" s="5"/>
      <c r="B364" s="5"/>
      <c r="C364" s="13"/>
      <c r="D364" s="13"/>
      <c r="E364" s="13"/>
      <c r="F364" s="13"/>
    </row>
    <row r="365" spans="1:6" ht="15.75" x14ac:dyDescent="0.25">
      <c r="A365" s="5"/>
      <c r="B365" s="5"/>
      <c r="C365" s="13"/>
      <c r="D365" s="13"/>
      <c r="E365" s="13"/>
      <c r="F365" s="13"/>
    </row>
    <row r="366" spans="1:6" ht="15.75" x14ac:dyDescent="0.25">
      <c r="A366" s="5"/>
      <c r="B366" s="5"/>
      <c r="C366" s="13"/>
      <c r="D366" s="13"/>
      <c r="E366" s="13"/>
      <c r="F366" s="13"/>
    </row>
    <row r="367" spans="1:6" ht="15.75" x14ac:dyDescent="0.25">
      <c r="A367" s="5"/>
      <c r="B367" s="5"/>
      <c r="C367" s="13"/>
      <c r="D367" s="13"/>
      <c r="E367" s="13"/>
      <c r="F367" s="13"/>
    </row>
    <row r="368" spans="1:6" ht="15.75" x14ac:dyDescent="0.25">
      <c r="A368" s="5"/>
      <c r="B368" s="5"/>
      <c r="C368" s="13"/>
      <c r="D368" s="13"/>
      <c r="E368" s="13"/>
      <c r="F368" s="13"/>
    </row>
    <row r="369" spans="1:6" ht="15.75" x14ac:dyDescent="0.25">
      <c r="A369" s="5"/>
      <c r="B369" s="5"/>
      <c r="C369" s="13"/>
      <c r="D369" s="13"/>
      <c r="E369" s="13"/>
      <c r="F369" s="13"/>
    </row>
    <row r="370" spans="1:6" ht="15.75" x14ac:dyDescent="0.25">
      <c r="A370" s="5"/>
      <c r="B370" s="5"/>
      <c r="C370" s="13"/>
      <c r="D370" s="13"/>
      <c r="E370" s="13"/>
      <c r="F370" s="13"/>
    </row>
    <row r="371" spans="1:6" ht="15.75" x14ac:dyDescent="0.25">
      <c r="A371" s="5"/>
      <c r="B371" s="5"/>
      <c r="C371" s="13"/>
      <c r="D371" s="13"/>
      <c r="E371" s="13"/>
      <c r="F371" s="13"/>
    </row>
    <row r="372" spans="1:6" ht="15.75" x14ac:dyDescent="0.25">
      <c r="A372" s="5"/>
      <c r="B372" s="5"/>
      <c r="C372" s="13"/>
      <c r="D372" s="13"/>
      <c r="E372" s="13"/>
      <c r="F372" s="13"/>
    </row>
    <row r="373" spans="1:6" ht="15.75" x14ac:dyDescent="0.25">
      <c r="A373" s="5"/>
      <c r="B373" s="5"/>
      <c r="C373" s="13"/>
      <c r="D373" s="13"/>
      <c r="E373" s="13"/>
      <c r="F373" s="13"/>
    </row>
    <row r="374" spans="1:6" ht="15.75" x14ac:dyDescent="0.25">
      <c r="A374" s="5"/>
      <c r="B374" s="5"/>
      <c r="C374" s="13"/>
      <c r="D374" s="13"/>
      <c r="E374" s="13"/>
      <c r="F374" s="13"/>
    </row>
    <row r="375" spans="1:6" ht="15.75" x14ac:dyDescent="0.25">
      <c r="A375" s="5"/>
      <c r="B375" s="5"/>
      <c r="C375" s="13"/>
      <c r="D375" s="13"/>
      <c r="E375" s="13"/>
      <c r="F375" s="13"/>
    </row>
    <row r="376" spans="1:6" ht="15.75" x14ac:dyDescent="0.25">
      <c r="A376" s="5"/>
      <c r="B376" s="5"/>
      <c r="C376" s="13"/>
      <c r="D376" s="13"/>
      <c r="E376" s="13"/>
      <c r="F376" s="13"/>
    </row>
    <row r="377" spans="1:6" ht="15.75" x14ac:dyDescent="0.25">
      <c r="A377" s="5"/>
      <c r="B377" s="5"/>
      <c r="C377" s="13"/>
      <c r="D377" s="13"/>
      <c r="E377" s="13"/>
      <c r="F377" s="13"/>
    </row>
    <row r="378" spans="1:6" ht="15.75" x14ac:dyDescent="0.25">
      <c r="A378" s="5"/>
      <c r="B378" s="5"/>
      <c r="C378" s="13"/>
      <c r="D378" s="13"/>
      <c r="E378" s="13"/>
      <c r="F378" s="13"/>
    </row>
    <row r="379" spans="1:6" ht="15.75" x14ac:dyDescent="0.25">
      <c r="A379" s="5"/>
      <c r="B379" s="5"/>
      <c r="C379" s="13"/>
      <c r="D379" s="13"/>
      <c r="E379" s="13"/>
      <c r="F379" s="13"/>
    </row>
    <row r="380" spans="1:6" ht="15.75" x14ac:dyDescent="0.25">
      <c r="A380" s="5"/>
      <c r="B380" s="5"/>
      <c r="C380" s="13"/>
      <c r="D380" s="13"/>
      <c r="E380" s="13"/>
      <c r="F380" s="13"/>
    </row>
    <row r="381" spans="1:6" ht="15.75" x14ac:dyDescent="0.25">
      <c r="A381" s="5"/>
      <c r="B381" s="5"/>
      <c r="C381" s="13"/>
      <c r="D381" s="13"/>
      <c r="E381" s="13"/>
      <c r="F381" s="13"/>
    </row>
    <row r="382" spans="1:6" ht="15.75" x14ac:dyDescent="0.25">
      <c r="A382" s="5"/>
      <c r="B382" s="5"/>
      <c r="C382" s="13"/>
      <c r="D382" s="13"/>
      <c r="E382" s="13"/>
      <c r="F382" s="13"/>
    </row>
    <row r="383" spans="1:6" ht="15.75" x14ac:dyDescent="0.25">
      <c r="A383" s="5"/>
      <c r="B383" s="5"/>
      <c r="C383" s="13"/>
      <c r="D383" s="13"/>
      <c r="E383" s="13"/>
      <c r="F383" s="13"/>
    </row>
    <row r="384" spans="1:6" ht="15.75" x14ac:dyDescent="0.25">
      <c r="A384" s="5"/>
      <c r="B384" s="5"/>
      <c r="C384" s="13"/>
      <c r="D384" s="13"/>
      <c r="E384" s="13"/>
      <c r="F384" s="13"/>
    </row>
    <row r="385" spans="1:6" ht="15.75" x14ac:dyDescent="0.25">
      <c r="A385" s="5"/>
      <c r="B385" s="5"/>
      <c r="C385" s="13"/>
      <c r="D385" s="13"/>
      <c r="E385" s="13"/>
      <c r="F385" s="13"/>
    </row>
    <row r="386" spans="1:6" ht="15.75" x14ac:dyDescent="0.25">
      <c r="A386" s="5"/>
      <c r="B386" s="5"/>
      <c r="C386" s="13"/>
      <c r="D386" s="13"/>
      <c r="E386" s="13"/>
      <c r="F386" s="13"/>
    </row>
    <row r="387" spans="1:6" ht="15.75" x14ac:dyDescent="0.25">
      <c r="A387" s="5"/>
      <c r="B387" s="5"/>
      <c r="C387" s="13"/>
      <c r="D387" s="13"/>
      <c r="E387" s="13"/>
      <c r="F387" s="13"/>
    </row>
    <row r="388" spans="1:6" ht="15.75" x14ac:dyDescent="0.25">
      <c r="A388" s="5"/>
      <c r="B388" s="5"/>
      <c r="C388" s="13"/>
      <c r="D388" s="13"/>
      <c r="E388" s="13"/>
      <c r="F388" s="13"/>
    </row>
    <row r="389" spans="1:6" ht="15.75" x14ac:dyDescent="0.25">
      <c r="A389" s="5"/>
      <c r="B389" s="5"/>
      <c r="C389" s="13"/>
      <c r="D389" s="13"/>
      <c r="E389" s="13"/>
      <c r="F389" s="13"/>
    </row>
    <row r="390" spans="1:6" ht="15.75" x14ac:dyDescent="0.25">
      <c r="A390" s="5"/>
      <c r="B390" s="5"/>
      <c r="C390" s="13"/>
      <c r="D390" s="13"/>
      <c r="E390" s="13"/>
      <c r="F390" s="13"/>
    </row>
    <row r="391" spans="1:6" ht="15.75" x14ac:dyDescent="0.25">
      <c r="A391" s="5"/>
      <c r="B391" s="5"/>
      <c r="C391" s="13"/>
      <c r="D391" s="13"/>
      <c r="E391" s="13"/>
      <c r="F391" s="13"/>
    </row>
    <row r="392" spans="1:6" ht="15.75" x14ac:dyDescent="0.25">
      <c r="A392" s="5"/>
      <c r="B392" s="5"/>
      <c r="C392" s="13"/>
      <c r="D392" s="13"/>
      <c r="E392" s="13"/>
      <c r="F392" s="13"/>
    </row>
    <row r="393" spans="1:6" ht="15.75" x14ac:dyDescent="0.25">
      <c r="A393" s="5"/>
      <c r="B393" s="5"/>
      <c r="C393" s="13"/>
      <c r="D393" s="13"/>
      <c r="E393" s="13"/>
      <c r="F393" s="13"/>
    </row>
    <row r="394" spans="1:6" ht="15.75" x14ac:dyDescent="0.25">
      <c r="A394" s="5"/>
      <c r="B394" s="5"/>
      <c r="C394" s="13"/>
      <c r="D394" s="13"/>
      <c r="E394" s="13"/>
      <c r="F394" s="13"/>
    </row>
    <row r="395" spans="1:6" ht="15.75" x14ac:dyDescent="0.25">
      <c r="A395" s="5"/>
      <c r="B395" s="5"/>
      <c r="C395" s="13"/>
      <c r="D395" s="13"/>
      <c r="E395" s="13"/>
      <c r="F395" s="13"/>
    </row>
    <row r="396" spans="1:6" ht="15.75" x14ac:dyDescent="0.25">
      <c r="A396" s="5"/>
      <c r="B396" s="5"/>
      <c r="C396" s="13"/>
      <c r="D396" s="13"/>
      <c r="E396" s="13"/>
      <c r="F396" s="13"/>
    </row>
    <row r="397" spans="1:6" ht="15.75" x14ac:dyDescent="0.25">
      <c r="A397" s="5"/>
      <c r="B397" s="5"/>
      <c r="C397" s="13"/>
      <c r="D397" s="13"/>
      <c r="E397" s="13"/>
      <c r="F397" s="13"/>
    </row>
    <row r="398" spans="1:6" ht="15.75" x14ac:dyDescent="0.25">
      <c r="A398" s="5"/>
      <c r="B398" s="5"/>
      <c r="C398" s="13"/>
      <c r="D398" s="13"/>
      <c r="E398" s="13"/>
      <c r="F398" s="13"/>
    </row>
    <row r="399" spans="1:6" ht="15.75" x14ac:dyDescent="0.25">
      <c r="A399" s="5"/>
      <c r="B399" s="5"/>
      <c r="C399" s="13"/>
      <c r="D399" s="13"/>
      <c r="E399" s="13"/>
      <c r="F399" s="13"/>
    </row>
    <row r="400" spans="1:6" ht="15.75" x14ac:dyDescent="0.25">
      <c r="A400" s="5"/>
      <c r="B400" s="5"/>
      <c r="C400" s="13"/>
      <c r="D400" s="13"/>
      <c r="E400" s="13"/>
      <c r="F400" s="13"/>
    </row>
    <row r="401" spans="1:6" ht="15.75" x14ac:dyDescent="0.25">
      <c r="A401" s="5"/>
      <c r="B401" s="5"/>
      <c r="C401" s="13"/>
      <c r="D401" s="13"/>
      <c r="E401" s="13"/>
      <c r="F401" s="13"/>
    </row>
    <row r="402" spans="1:6" ht="15.75" x14ac:dyDescent="0.25">
      <c r="A402" s="5"/>
      <c r="B402" s="5"/>
      <c r="C402" s="13"/>
      <c r="D402" s="13"/>
      <c r="E402" s="13"/>
      <c r="F402" s="13"/>
    </row>
    <row r="403" spans="1:6" ht="15.75" x14ac:dyDescent="0.25">
      <c r="A403" s="5"/>
      <c r="B403" s="5"/>
      <c r="C403" s="13"/>
      <c r="D403" s="13"/>
      <c r="E403" s="13"/>
      <c r="F403" s="13"/>
    </row>
    <row r="404" spans="1:6" ht="15.75" x14ac:dyDescent="0.25">
      <c r="A404" s="5"/>
      <c r="B404" s="5"/>
      <c r="C404" s="13"/>
      <c r="D404" s="13"/>
      <c r="E404" s="13"/>
      <c r="F404" s="13"/>
    </row>
    <row r="405" spans="1:6" ht="15.75" x14ac:dyDescent="0.25">
      <c r="A405" s="5"/>
      <c r="B405" s="5"/>
      <c r="C405" s="13"/>
      <c r="D405" s="13"/>
      <c r="E405" s="13"/>
      <c r="F405" s="13"/>
    </row>
    <row r="406" spans="1:6" ht="15.75" x14ac:dyDescent="0.25">
      <c r="A406" s="5"/>
      <c r="B406" s="5"/>
      <c r="C406" s="13"/>
      <c r="D406" s="13"/>
      <c r="E406" s="13"/>
      <c r="F406" s="13"/>
    </row>
    <row r="407" spans="1:6" ht="15.75" x14ac:dyDescent="0.25">
      <c r="A407" s="5"/>
      <c r="B407" s="5"/>
      <c r="C407" s="13"/>
      <c r="D407" s="13"/>
      <c r="E407" s="13"/>
      <c r="F407" s="13"/>
    </row>
    <row r="408" spans="1:6" ht="15.75" x14ac:dyDescent="0.25">
      <c r="A408" s="5"/>
      <c r="B408" s="5"/>
      <c r="C408" s="13"/>
      <c r="D408" s="13"/>
      <c r="E408" s="13"/>
      <c r="F408" s="13"/>
    </row>
    <row r="409" spans="1:6" ht="15.75" x14ac:dyDescent="0.25">
      <c r="A409" s="5"/>
      <c r="B409" s="5"/>
      <c r="C409" s="13"/>
      <c r="D409" s="13"/>
      <c r="E409" s="13"/>
      <c r="F409" s="13"/>
    </row>
    <row r="410" spans="1:6" ht="15.75" x14ac:dyDescent="0.25">
      <c r="A410" s="5"/>
      <c r="B410" s="5"/>
      <c r="C410" s="13"/>
      <c r="D410" s="13"/>
      <c r="E410" s="13"/>
      <c r="F410" s="13"/>
    </row>
    <row r="411" spans="1:6" ht="15.75" x14ac:dyDescent="0.25">
      <c r="A411" s="5"/>
      <c r="B411" s="5"/>
      <c r="C411" s="13"/>
      <c r="D411" s="13"/>
      <c r="E411" s="13"/>
      <c r="F411" s="13"/>
    </row>
    <row r="412" spans="1:6" ht="15.75" x14ac:dyDescent="0.25">
      <c r="A412" s="5"/>
      <c r="B412" s="5"/>
      <c r="C412" s="13"/>
      <c r="D412" s="13"/>
      <c r="E412" s="13"/>
      <c r="F412" s="13"/>
    </row>
    <row r="413" spans="1:6" ht="15.75" x14ac:dyDescent="0.25">
      <c r="A413" s="5"/>
      <c r="B413" s="5"/>
      <c r="C413" s="13"/>
      <c r="D413" s="13"/>
      <c r="E413" s="13"/>
      <c r="F413" s="13"/>
    </row>
    <row r="414" spans="1:6" ht="15.75" x14ac:dyDescent="0.25">
      <c r="A414" s="5"/>
      <c r="B414" s="5"/>
      <c r="C414" s="13"/>
      <c r="D414" s="13"/>
      <c r="E414" s="13"/>
      <c r="F414" s="13"/>
    </row>
    <row r="415" spans="1:6" ht="15.75" x14ac:dyDescent="0.25">
      <c r="A415" s="5"/>
      <c r="B415" s="5"/>
      <c r="C415" s="13"/>
      <c r="D415" s="13"/>
      <c r="E415" s="13"/>
      <c r="F415" s="13"/>
    </row>
    <row r="416" spans="1:6" ht="15.75" x14ac:dyDescent="0.25">
      <c r="A416" s="5"/>
      <c r="B416" s="5"/>
      <c r="C416" s="13"/>
      <c r="D416" s="13"/>
      <c r="E416" s="13"/>
      <c r="F416" s="13"/>
    </row>
    <row r="417" spans="1:6" ht="15.75" x14ac:dyDescent="0.25">
      <c r="A417" s="5"/>
      <c r="B417" s="5"/>
      <c r="C417" s="13"/>
      <c r="D417" s="13"/>
      <c r="E417" s="13"/>
      <c r="F417" s="13"/>
    </row>
    <row r="418" spans="1:6" ht="15.75" x14ac:dyDescent="0.25">
      <c r="A418" s="5"/>
      <c r="B418" s="5"/>
      <c r="C418" s="13"/>
      <c r="D418" s="13"/>
      <c r="E418" s="13"/>
      <c r="F418" s="13"/>
    </row>
    <row r="419" spans="1:6" ht="15.75" x14ac:dyDescent="0.25">
      <c r="A419" s="5"/>
      <c r="B419" s="5"/>
      <c r="C419" s="13"/>
      <c r="D419" s="13"/>
      <c r="E419" s="13"/>
      <c r="F419" s="13"/>
    </row>
    <row r="420" spans="1:6" ht="15.75" x14ac:dyDescent="0.25">
      <c r="A420" s="5"/>
      <c r="B420" s="5"/>
      <c r="C420" s="13"/>
      <c r="D420" s="13"/>
      <c r="E420" s="13"/>
      <c r="F420" s="13"/>
    </row>
    <row r="421" spans="1:6" ht="15.75" x14ac:dyDescent="0.25">
      <c r="A421" s="5"/>
      <c r="B421" s="5"/>
      <c r="C421" s="13"/>
      <c r="D421" s="13"/>
      <c r="E421" s="13"/>
      <c r="F421" s="13"/>
    </row>
    <row r="422" spans="1:6" ht="15.75" x14ac:dyDescent="0.25">
      <c r="A422" s="5"/>
      <c r="B422" s="5"/>
      <c r="C422" s="13"/>
      <c r="D422" s="13"/>
      <c r="E422" s="13"/>
      <c r="F422" s="13"/>
    </row>
    <row r="423" spans="1:6" ht="15.75" x14ac:dyDescent="0.25">
      <c r="A423" s="5"/>
      <c r="B423" s="5"/>
      <c r="C423" s="13"/>
      <c r="D423" s="13"/>
      <c r="E423" s="13"/>
      <c r="F423" s="13"/>
    </row>
    <row r="424" spans="1:6" ht="15.75" x14ac:dyDescent="0.25">
      <c r="A424" s="5"/>
      <c r="B424" s="5"/>
      <c r="C424" s="13"/>
      <c r="D424" s="13"/>
      <c r="E424" s="13"/>
      <c r="F424" s="13"/>
    </row>
    <row r="425" spans="1:6" ht="15.75" x14ac:dyDescent="0.25">
      <c r="A425" s="5"/>
      <c r="B425" s="5"/>
      <c r="C425" s="13"/>
      <c r="D425" s="13"/>
      <c r="E425" s="13"/>
      <c r="F425" s="13"/>
    </row>
    <row r="426" spans="1:6" ht="15.75" x14ac:dyDescent="0.25">
      <c r="A426" s="5"/>
      <c r="B426" s="5"/>
      <c r="C426" s="13"/>
      <c r="D426" s="13"/>
      <c r="E426" s="13"/>
      <c r="F426" s="13"/>
    </row>
    <row r="427" spans="1:6" ht="15.75" x14ac:dyDescent="0.25">
      <c r="A427" s="5"/>
      <c r="B427" s="5"/>
      <c r="C427" s="13"/>
      <c r="D427" s="13"/>
      <c r="E427" s="13"/>
      <c r="F427" s="13"/>
    </row>
    <row r="428" spans="1:6" ht="15.75" x14ac:dyDescent="0.25">
      <c r="A428" s="5"/>
      <c r="B428" s="5"/>
      <c r="C428" s="13"/>
      <c r="D428" s="13"/>
      <c r="E428" s="13"/>
      <c r="F428" s="13"/>
    </row>
    <row r="429" spans="1:6" ht="15.75" x14ac:dyDescent="0.25">
      <c r="A429" s="5"/>
      <c r="B429" s="5"/>
      <c r="C429" s="13"/>
      <c r="D429" s="13"/>
      <c r="E429" s="13"/>
      <c r="F429" s="13"/>
    </row>
    <row r="430" spans="1:6" ht="15.75" x14ac:dyDescent="0.25">
      <c r="A430" s="5"/>
      <c r="B430" s="5"/>
      <c r="C430" s="13"/>
      <c r="D430" s="13"/>
      <c r="E430" s="13"/>
      <c r="F430" s="13"/>
    </row>
    <row r="431" spans="1:6" ht="15.75" x14ac:dyDescent="0.25">
      <c r="A431" s="5"/>
      <c r="B431" s="5"/>
      <c r="C431" s="13"/>
      <c r="D431" s="13"/>
      <c r="E431" s="13"/>
      <c r="F431" s="13"/>
    </row>
    <row r="432" spans="1:6" ht="15.75" x14ac:dyDescent="0.25">
      <c r="A432" s="5"/>
      <c r="B432" s="5"/>
      <c r="C432" s="13"/>
      <c r="D432" s="13"/>
      <c r="E432" s="13"/>
      <c r="F432" s="13"/>
    </row>
    <row r="433" spans="1:6" ht="15.75" x14ac:dyDescent="0.25">
      <c r="A433" s="5"/>
      <c r="B433" s="5"/>
      <c r="C433" s="13"/>
      <c r="D433" s="13"/>
      <c r="E433" s="13"/>
      <c r="F433" s="13"/>
    </row>
    <row r="434" spans="1:6" ht="15.75" x14ac:dyDescent="0.25">
      <c r="A434" s="5"/>
      <c r="B434" s="5"/>
      <c r="C434" s="13"/>
      <c r="D434" s="13"/>
      <c r="E434" s="13"/>
      <c r="F434" s="13"/>
    </row>
    <row r="435" spans="1:6" ht="15.75" x14ac:dyDescent="0.25">
      <c r="A435" s="5"/>
      <c r="B435" s="5"/>
      <c r="C435" s="13"/>
      <c r="D435" s="13"/>
      <c r="E435" s="13"/>
      <c r="F435" s="13"/>
    </row>
    <row r="436" spans="1:6" ht="15.75" x14ac:dyDescent="0.25">
      <c r="A436" s="5"/>
      <c r="B436" s="5"/>
      <c r="C436" s="13"/>
      <c r="D436" s="13"/>
      <c r="E436" s="13"/>
      <c r="F436" s="13"/>
    </row>
    <row r="437" spans="1:6" ht="15.75" x14ac:dyDescent="0.25">
      <c r="A437" s="5"/>
      <c r="B437" s="5"/>
      <c r="C437" s="13"/>
      <c r="D437" s="13"/>
      <c r="E437" s="13"/>
      <c r="F437" s="13"/>
    </row>
    <row r="438" spans="1:6" ht="15.75" x14ac:dyDescent="0.25">
      <c r="A438" s="5"/>
      <c r="B438" s="5"/>
      <c r="C438" s="13"/>
      <c r="D438" s="13"/>
      <c r="E438" s="13"/>
      <c r="F438" s="13"/>
    </row>
    <row r="439" spans="1:6" ht="15.75" x14ac:dyDescent="0.25">
      <c r="A439" s="5"/>
      <c r="B439" s="5"/>
      <c r="C439" s="13"/>
      <c r="D439" s="13"/>
      <c r="E439" s="13"/>
      <c r="F439" s="13"/>
    </row>
    <row r="440" spans="1:6" ht="15.75" x14ac:dyDescent="0.25">
      <c r="A440" s="5"/>
      <c r="B440" s="5"/>
      <c r="C440" s="13"/>
      <c r="D440" s="13"/>
      <c r="E440" s="13"/>
      <c r="F440" s="13"/>
    </row>
    <row r="441" spans="1:6" ht="15.75" x14ac:dyDescent="0.25">
      <c r="A441" s="5"/>
      <c r="B441" s="5"/>
      <c r="C441" s="13"/>
      <c r="D441" s="13"/>
      <c r="E441" s="13"/>
      <c r="F441" s="13"/>
    </row>
    <row r="442" spans="1:6" ht="15.75" x14ac:dyDescent="0.25">
      <c r="A442" s="5"/>
      <c r="B442" s="5"/>
      <c r="C442" s="13"/>
      <c r="D442" s="13"/>
      <c r="E442" s="13"/>
      <c r="F442" s="13"/>
    </row>
    <row r="443" spans="1:6" ht="15.75" x14ac:dyDescent="0.25">
      <c r="A443" s="5"/>
      <c r="B443" s="5"/>
      <c r="C443" s="13"/>
      <c r="D443" s="13"/>
      <c r="E443" s="13"/>
      <c r="F443" s="13"/>
    </row>
    <row r="444" spans="1:6" ht="15.75" x14ac:dyDescent="0.25">
      <c r="A444" s="5"/>
      <c r="B444" s="5"/>
      <c r="C444" s="13"/>
      <c r="D444" s="13"/>
      <c r="E444" s="13"/>
      <c r="F444" s="13"/>
    </row>
    <row r="445" spans="1:6" ht="15.75" x14ac:dyDescent="0.25">
      <c r="A445" s="5"/>
      <c r="B445" s="5"/>
      <c r="C445" s="13"/>
      <c r="D445" s="13"/>
      <c r="E445" s="13"/>
      <c r="F445" s="13"/>
    </row>
    <row r="446" spans="1:6" ht="15.75" x14ac:dyDescent="0.25">
      <c r="A446" s="5"/>
      <c r="B446" s="5"/>
      <c r="C446" s="13"/>
      <c r="D446" s="13"/>
      <c r="E446" s="13"/>
      <c r="F446" s="13"/>
    </row>
    <row r="447" spans="1:6" ht="15.75" x14ac:dyDescent="0.25">
      <c r="A447" s="5"/>
      <c r="B447" s="5"/>
      <c r="C447" s="13"/>
      <c r="D447" s="13"/>
      <c r="E447" s="13"/>
      <c r="F447" s="13"/>
    </row>
    <row r="448" spans="1:6" ht="15.75" x14ac:dyDescent="0.25">
      <c r="A448" s="5"/>
      <c r="B448" s="5"/>
      <c r="C448" s="13"/>
      <c r="D448" s="13"/>
      <c r="E448" s="13"/>
      <c r="F448" s="13"/>
    </row>
    <row r="449" spans="1:6" ht="15.75" x14ac:dyDescent="0.25">
      <c r="A449" s="5"/>
      <c r="B449" s="5"/>
      <c r="C449" s="13"/>
      <c r="D449" s="13"/>
      <c r="E449" s="13"/>
      <c r="F449" s="13"/>
    </row>
    <row r="450" spans="1:6" ht="15.75" x14ac:dyDescent="0.25">
      <c r="A450" s="5"/>
      <c r="B450" s="5"/>
      <c r="C450" s="13"/>
      <c r="D450" s="13"/>
      <c r="E450" s="13"/>
      <c r="F450" s="13"/>
    </row>
    <row r="451" spans="1:6" ht="15.75" x14ac:dyDescent="0.25">
      <c r="A451" s="5"/>
      <c r="B451" s="5"/>
      <c r="C451" s="13"/>
      <c r="D451" s="13"/>
      <c r="E451" s="13"/>
      <c r="F451" s="13"/>
    </row>
    <row r="452" spans="1:6" ht="15.75" x14ac:dyDescent="0.25">
      <c r="A452" s="5"/>
      <c r="B452" s="5"/>
      <c r="C452" s="13"/>
      <c r="D452" s="13"/>
      <c r="E452" s="13"/>
      <c r="F452" s="13"/>
    </row>
    <row r="453" spans="1:6" ht="15.75" x14ac:dyDescent="0.25">
      <c r="A453" s="5"/>
      <c r="B453" s="5"/>
      <c r="C453" s="13"/>
      <c r="D453" s="13"/>
      <c r="E453" s="13"/>
      <c r="F453" s="13"/>
    </row>
    <row r="454" spans="1:6" ht="15.75" x14ac:dyDescent="0.25">
      <c r="A454" s="5"/>
      <c r="B454" s="5"/>
      <c r="C454" s="13"/>
      <c r="D454" s="13"/>
      <c r="E454" s="13"/>
      <c r="F454" s="13"/>
    </row>
    <row r="455" spans="1:6" ht="15.75" x14ac:dyDescent="0.25">
      <c r="A455" s="5"/>
      <c r="B455" s="5"/>
      <c r="C455" s="13"/>
      <c r="D455" s="13"/>
      <c r="E455" s="13"/>
      <c r="F455" s="13"/>
    </row>
    <row r="456" spans="1:6" ht="15.75" x14ac:dyDescent="0.25">
      <c r="A456" s="5"/>
      <c r="B456" s="5"/>
      <c r="C456" s="13"/>
      <c r="D456" s="13"/>
      <c r="E456" s="13"/>
      <c r="F456" s="13"/>
    </row>
    <row r="457" spans="1:6" ht="15.75" x14ac:dyDescent="0.25">
      <c r="A457" s="5"/>
      <c r="B457" s="5"/>
      <c r="C457" s="13"/>
      <c r="D457" s="13"/>
      <c r="E457" s="13"/>
      <c r="F457" s="13"/>
    </row>
    <row r="458" spans="1:6" ht="15.75" x14ac:dyDescent="0.25">
      <c r="A458" s="5"/>
      <c r="B458" s="5"/>
      <c r="C458" s="13"/>
      <c r="D458" s="13"/>
      <c r="E458" s="13"/>
      <c r="F458" s="13"/>
    </row>
    <row r="459" spans="1:6" ht="15.75" x14ac:dyDescent="0.25">
      <c r="A459" s="5"/>
      <c r="B459" s="5"/>
      <c r="C459" s="13"/>
      <c r="D459" s="13"/>
      <c r="E459" s="13"/>
      <c r="F459" s="13"/>
    </row>
    <row r="460" spans="1:6" ht="15.75" x14ac:dyDescent="0.25">
      <c r="A460" s="5"/>
      <c r="B460" s="5"/>
      <c r="C460" s="13"/>
      <c r="D460" s="13"/>
      <c r="E460" s="13"/>
      <c r="F460" s="13"/>
    </row>
    <row r="461" spans="1:6" ht="15.75" x14ac:dyDescent="0.25">
      <c r="A461" s="5"/>
      <c r="B461" s="5"/>
      <c r="C461" s="13"/>
      <c r="D461" s="13"/>
      <c r="E461" s="13"/>
      <c r="F461" s="13"/>
    </row>
    <row r="462" spans="1:6" ht="15.75" x14ac:dyDescent="0.25">
      <c r="A462" s="5"/>
      <c r="B462" s="5"/>
      <c r="C462" s="13"/>
      <c r="D462" s="13"/>
      <c r="E462" s="13"/>
      <c r="F462" s="13"/>
    </row>
    <row r="463" spans="1:6" ht="15.75" x14ac:dyDescent="0.25">
      <c r="A463" s="5"/>
      <c r="B463" s="5"/>
      <c r="C463" s="13"/>
      <c r="D463" s="13"/>
      <c r="E463" s="13"/>
      <c r="F463" s="13"/>
    </row>
    <row r="464" spans="1:6" ht="15.75" x14ac:dyDescent="0.25">
      <c r="A464" s="5"/>
      <c r="B464" s="5"/>
      <c r="C464" s="13"/>
      <c r="D464" s="13"/>
      <c r="E464" s="13"/>
      <c r="F464" s="13"/>
    </row>
    <row r="465" spans="1:6" ht="15.75" x14ac:dyDescent="0.25">
      <c r="A465" s="5"/>
      <c r="B465" s="5"/>
      <c r="C465" s="13"/>
      <c r="D465" s="13"/>
      <c r="E465" s="13"/>
      <c r="F465" s="13"/>
    </row>
    <row r="466" spans="1:6" ht="15.75" x14ac:dyDescent="0.25">
      <c r="A466" s="5"/>
      <c r="B466" s="5"/>
      <c r="C466" s="13"/>
      <c r="D466" s="13"/>
      <c r="E466" s="13"/>
      <c r="F466" s="13"/>
    </row>
    <row r="467" spans="1:6" ht="15.75" x14ac:dyDescent="0.25">
      <c r="A467" s="5"/>
      <c r="B467" s="5"/>
      <c r="C467" s="13"/>
      <c r="D467" s="13"/>
      <c r="E467" s="13"/>
      <c r="F467" s="13"/>
    </row>
    <row r="468" spans="1:6" ht="15.75" x14ac:dyDescent="0.25">
      <c r="A468" s="5"/>
      <c r="B468" s="5"/>
      <c r="C468" s="13"/>
      <c r="D468" s="13"/>
      <c r="E468" s="13"/>
      <c r="F468" s="13"/>
    </row>
    <row r="469" spans="1:6" ht="15.75" x14ac:dyDescent="0.25">
      <c r="A469" s="5"/>
      <c r="B469" s="5"/>
      <c r="C469" s="13"/>
      <c r="D469" s="13"/>
      <c r="E469" s="13"/>
      <c r="F469" s="13"/>
    </row>
    <row r="470" spans="1:6" ht="15.75" x14ac:dyDescent="0.25">
      <c r="A470" s="5"/>
      <c r="B470" s="5"/>
      <c r="C470" s="13"/>
      <c r="D470" s="13"/>
      <c r="E470" s="13"/>
      <c r="F470" s="13"/>
    </row>
    <row r="471" spans="1:6" ht="15.75" x14ac:dyDescent="0.25">
      <c r="A471" s="5"/>
      <c r="B471" s="5"/>
      <c r="C471" s="13"/>
      <c r="D471" s="13"/>
      <c r="E471" s="13"/>
      <c r="F471" s="13"/>
    </row>
    <row r="472" spans="1:6" ht="15.75" x14ac:dyDescent="0.25">
      <c r="A472" s="5"/>
      <c r="B472" s="5"/>
      <c r="C472" s="13"/>
      <c r="D472" s="13"/>
      <c r="E472" s="13"/>
      <c r="F472" s="13"/>
    </row>
    <row r="473" spans="1:6" ht="15.75" x14ac:dyDescent="0.25">
      <c r="A473" s="5"/>
      <c r="B473" s="5"/>
      <c r="C473" s="13"/>
      <c r="D473" s="13"/>
      <c r="E473" s="13"/>
      <c r="F473" s="13"/>
    </row>
    <row r="474" spans="1:6" ht="15.75" x14ac:dyDescent="0.25">
      <c r="A474" s="5"/>
      <c r="B474" s="5"/>
      <c r="C474" s="13"/>
      <c r="D474" s="13"/>
      <c r="E474" s="13"/>
      <c r="F474" s="13"/>
    </row>
    <row r="475" spans="1:6" ht="15.75" x14ac:dyDescent="0.25">
      <c r="A475" s="5"/>
      <c r="B475" s="5"/>
      <c r="C475" s="13"/>
      <c r="D475" s="13"/>
      <c r="E475" s="13"/>
      <c r="F475" s="13"/>
    </row>
    <row r="476" spans="1:6" ht="15.75" x14ac:dyDescent="0.25">
      <c r="A476" s="5"/>
      <c r="B476" s="5"/>
      <c r="C476" s="13"/>
      <c r="D476" s="13"/>
      <c r="E476" s="13"/>
      <c r="F476" s="13"/>
    </row>
    <row r="477" spans="1:6" ht="15.75" x14ac:dyDescent="0.25">
      <c r="A477" s="5"/>
      <c r="B477" s="5"/>
      <c r="C477" s="13"/>
      <c r="D477" s="13"/>
      <c r="E477" s="13"/>
      <c r="F477" s="13"/>
    </row>
    <row r="478" spans="1:6" ht="15.75" x14ac:dyDescent="0.25">
      <c r="A478" s="5"/>
      <c r="B478" s="5"/>
      <c r="C478" s="13"/>
      <c r="D478" s="13"/>
      <c r="E478" s="13"/>
      <c r="F478" s="13"/>
    </row>
    <row r="479" spans="1:6" ht="15.75" x14ac:dyDescent="0.25">
      <c r="A479" s="5"/>
      <c r="B479" s="5"/>
      <c r="C479" s="13"/>
      <c r="D479" s="13"/>
      <c r="E479" s="13"/>
      <c r="F479" s="13"/>
    </row>
    <row r="480" spans="1:6" ht="15.75" x14ac:dyDescent="0.25">
      <c r="A480" s="5"/>
      <c r="B480" s="5"/>
      <c r="C480" s="13"/>
      <c r="D480" s="13"/>
      <c r="E480" s="13"/>
      <c r="F480" s="13"/>
    </row>
    <row r="481" spans="1:6" ht="15.75" x14ac:dyDescent="0.25">
      <c r="A481" s="5"/>
      <c r="B481" s="5"/>
      <c r="C481" s="13"/>
      <c r="D481" s="13"/>
      <c r="E481" s="13"/>
      <c r="F481" s="13"/>
    </row>
    <row r="482" spans="1:6" ht="15.75" x14ac:dyDescent="0.25">
      <c r="A482" s="5"/>
      <c r="B482" s="5"/>
      <c r="C482" s="13"/>
      <c r="D482" s="13"/>
      <c r="E482" s="13"/>
      <c r="F482" s="13"/>
    </row>
    <row r="483" spans="1:6" ht="15.75" x14ac:dyDescent="0.25">
      <c r="A483" s="5"/>
      <c r="B483" s="5"/>
      <c r="C483" s="13"/>
      <c r="D483" s="13"/>
      <c r="E483" s="13"/>
      <c r="F483" s="13"/>
    </row>
    <row r="484" spans="1:6" ht="15.75" x14ac:dyDescent="0.25">
      <c r="A484" s="5"/>
      <c r="B484" s="5"/>
      <c r="C484" s="13"/>
      <c r="D484" s="13"/>
      <c r="E484" s="13"/>
      <c r="F484" s="13"/>
    </row>
    <row r="485" spans="1:6" ht="15.75" x14ac:dyDescent="0.25">
      <c r="A485" s="5"/>
      <c r="B485" s="5"/>
      <c r="C485" s="13"/>
      <c r="D485" s="13"/>
      <c r="E485" s="13"/>
      <c r="F485" s="13"/>
    </row>
    <row r="486" spans="1:6" ht="15.75" x14ac:dyDescent="0.25">
      <c r="A486" s="5"/>
      <c r="B486" s="5"/>
      <c r="C486" s="13"/>
      <c r="D486" s="13"/>
      <c r="E486" s="13"/>
      <c r="F486" s="13"/>
    </row>
    <row r="487" spans="1:6" ht="15.75" x14ac:dyDescent="0.25">
      <c r="A487" s="5"/>
      <c r="B487" s="5"/>
      <c r="C487" s="13"/>
      <c r="D487" s="13"/>
      <c r="E487" s="13"/>
      <c r="F487" s="13"/>
    </row>
    <row r="488" spans="1:6" ht="15.75" x14ac:dyDescent="0.25">
      <c r="A488" s="5"/>
      <c r="B488" s="5"/>
      <c r="C488" s="13"/>
      <c r="D488" s="13"/>
      <c r="E488" s="13"/>
      <c r="F488" s="13"/>
    </row>
    <row r="489" spans="1:6" ht="15.75" x14ac:dyDescent="0.25">
      <c r="A489" s="5"/>
      <c r="B489" s="5"/>
      <c r="C489" s="13"/>
      <c r="D489" s="13"/>
      <c r="E489" s="13"/>
      <c r="F489" s="13"/>
    </row>
    <row r="490" spans="1:6" ht="15.75" x14ac:dyDescent="0.25">
      <c r="A490" s="5"/>
      <c r="B490" s="5"/>
      <c r="C490" s="13"/>
      <c r="D490" s="13"/>
      <c r="E490" s="13"/>
      <c r="F490" s="13"/>
    </row>
    <row r="491" spans="1:6" ht="15.75" x14ac:dyDescent="0.25">
      <c r="A491" s="5"/>
      <c r="B491" s="5"/>
      <c r="C491" s="13"/>
      <c r="D491" s="13"/>
      <c r="E491" s="13"/>
      <c r="F491" s="13"/>
    </row>
    <row r="492" spans="1:6" ht="15.75" x14ac:dyDescent="0.25">
      <c r="A492" s="5"/>
      <c r="B492" s="5"/>
      <c r="C492" s="13"/>
      <c r="D492" s="13"/>
      <c r="E492" s="13"/>
      <c r="F492" s="13"/>
    </row>
    <row r="493" spans="1:6" ht="15.75" x14ac:dyDescent="0.25">
      <c r="A493" s="5"/>
      <c r="B493" s="5"/>
      <c r="C493" s="13"/>
      <c r="D493" s="13"/>
      <c r="E493" s="13"/>
      <c r="F493" s="13"/>
    </row>
    <row r="494" spans="1:6" ht="15.75" x14ac:dyDescent="0.25">
      <c r="A494" s="5"/>
      <c r="B494" s="5"/>
      <c r="C494" s="13"/>
      <c r="D494" s="13"/>
      <c r="E494" s="13"/>
      <c r="F494" s="13"/>
    </row>
    <row r="495" spans="1:6" ht="15.75" x14ac:dyDescent="0.25">
      <c r="A495" s="5"/>
      <c r="B495" s="5"/>
      <c r="C495" s="13"/>
      <c r="D495" s="13"/>
      <c r="E495" s="13"/>
      <c r="F495" s="13"/>
    </row>
    <row r="496" spans="1:6" ht="15.75" x14ac:dyDescent="0.25">
      <c r="A496" s="5"/>
      <c r="B496" s="5"/>
      <c r="C496" s="13"/>
      <c r="D496" s="13"/>
      <c r="E496" s="13"/>
      <c r="F496" s="13"/>
    </row>
    <row r="497" spans="1:6" ht="15.75" x14ac:dyDescent="0.25">
      <c r="A497" s="5"/>
      <c r="B497" s="5"/>
      <c r="C497" s="13"/>
      <c r="D497" s="13"/>
      <c r="E497" s="13"/>
      <c r="F497" s="13"/>
    </row>
    <row r="498" spans="1:6" ht="15.75" x14ac:dyDescent="0.25">
      <c r="A498" s="5"/>
      <c r="B498" s="5"/>
      <c r="C498" s="13"/>
      <c r="D498" s="13"/>
      <c r="E498" s="13"/>
      <c r="F498" s="13"/>
    </row>
    <row r="499" spans="1:6" ht="15.75" x14ac:dyDescent="0.25">
      <c r="A499" s="5"/>
      <c r="B499" s="5"/>
      <c r="C499" s="13"/>
      <c r="D499" s="13"/>
      <c r="E499" s="13"/>
      <c r="F499" s="13"/>
    </row>
    <row r="500" spans="1:6" ht="15.75" x14ac:dyDescent="0.25">
      <c r="A500" s="5"/>
      <c r="B500" s="5"/>
      <c r="C500" s="13"/>
      <c r="D500" s="13"/>
      <c r="E500" s="13"/>
      <c r="F500" s="13"/>
    </row>
    <row r="501" spans="1:6" ht="15.75" x14ac:dyDescent="0.25">
      <c r="A501" s="5"/>
      <c r="B501" s="5"/>
      <c r="C501" s="13"/>
      <c r="D501" s="13"/>
      <c r="E501" s="13"/>
      <c r="F501" s="13"/>
    </row>
    <row r="502" spans="1:6" ht="15.75" x14ac:dyDescent="0.25">
      <c r="A502" s="5"/>
      <c r="B502" s="5"/>
      <c r="C502" s="13"/>
      <c r="D502" s="13"/>
      <c r="E502" s="13"/>
      <c r="F502" s="13"/>
    </row>
    <row r="503" spans="1:6" ht="15.75" x14ac:dyDescent="0.25">
      <c r="A503" s="5"/>
      <c r="B503" s="5"/>
      <c r="C503" s="13"/>
      <c r="D503" s="13"/>
      <c r="E503" s="13"/>
      <c r="F503" s="13"/>
    </row>
    <row r="504" spans="1:6" ht="15.75" x14ac:dyDescent="0.25">
      <c r="A504" s="5"/>
      <c r="B504" s="5"/>
      <c r="C504" s="13"/>
      <c r="D504" s="13"/>
      <c r="E504" s="13"/>
      <c r="F504" s="13"/>
    </row>
    <row r="505" spans="1:6" ht="15.75" x14ac:dyDescent="0.25">
      <c r="A505" s="5"/>
      <c r="B505" s="5"/>
      <c r="C505" s="13"/>
      <c r="D505" s="13"/>
      <c r="E505" s="13"/>
      <c r="F505" s="13"/>
    </row>
    <row r="506" spans="1:6" ht="15.75" x14ac:dyDescent="0.25">
      <c r="A506" s="5"/>
      <c r="B506" s="5"/>
      <c r="C506" s="13"/>
      <c r="D506" s="13"/>
      <c r="E506" s="13"/>
      <c r="F506" s="13"/>
    </row>
    <row r="507" spans="1:6" ht="15.75" x14ac:dyDescent="0.25">
      <c r="A507" s="5"/>
      <c r="B507" s="5"/>
      <c r="C507" s="13"/>
      <c r="D507" s="13"/>
      <c r="E507" s="13"/>
      <c r="F507" s="13"/>
    </row>
    <row r="508" spans="1:6" ht="15.75" x14ac:dyDescent="0.25">
      <c r="A508" s="5"/>
      <c r="B508" s="5"/>
      <c r="C508" s="13"/>
      <c r="D508" s="13"/>
      <c r="E508" s="13"/>
      <c r="F508" s="13"/>
    </row>
    <row r="509" spans="1:6" ht="15.75" x14ac:dyDescent="0.25">
      <c r="A509" s="5"/>
      <c r="B509" s="5"/>
      <c r="C509" s="13"/>
      <c r="D509" s="13"/>
      <c r="E509" s="13"/>
      <c r="F509" s="13"/>
    </row>
    <row r="510" spans="1:6" ht="15.75" x14ac:dyDescent="0.25">
      <c r="A510" s="5"/>
      <c r="B510" s="5"/>
      <c r="C510" s="13"/>
      <c r="D510" s="13"/>
      <c r="E510" s="13"/>
      <c r="F510" s="13"/>
    </row>
    <row r="511" spans="1:6" ht="15.75" x14ac:dyDescent="0.25">
      <c r="A511" s="5"/>
      <c r="B511" s="5"/>
      <c r="C511" s="13"/>
      <c r="D511" s="13"/>
      <c r="E511" s="13"/>
      <c r="F511" s="13"/>
    </row>
    <row r="512" spans="1:6" ht="15.75" x14ac:dyDescent="0.25">
      <c r="A512" s="5"/>
      <c r="B512" s="5"/>
      <c r="C512" s="13"/>
      <c r="D512" s="13"/>
      <c r="E512" s="13"/>
      <c r="F512" s="13"/>
    </row>
    <row r="513" spans="1:6" ht="15.75" x14ac:dyDescent="0.25">
      <c r="A513" s="5"/>
      <c r="B513" s="5"/>
      <c r="C513" s="13"/>
      <c r="D513" s="13"/>
      <c r="E513" s="13"/>
      <c r="F513" s="13"/>
    </row>
    <row r="514" spans="1:6" ht="15.75" x14ac:dyDescent="0.25">
      <c r="A514" s="5"/>
      <c r="B514" s="5"/>
      <c r="C514" s="13"/>
      <c r="D514" s="13"/>
      <c r="E514" s="13"/>
      <c r="F514" s="13"/>
    </row>
    <row r="515" spans="1:6" ht="15.75" x14ac:dyDescent="0.25">
      <c r="A515" s="5"/>
      <c r="B515" s="5"/>
      <c r="C515" s="13"/>
      <c r="D515" s="13"/>
      <c r="E515" s="13"/>
      <c r="F515" s="13"/>
    </row>
    <row r="516" spans="1:6" ht="15.75" x14ac:dyDescent="0.25">
      <c r="A516" s="5"/>
      <c r="B516" s="5"/>
      <c r="C516" s="13"/>
      <c r="D516" s="13"/>
      <c r="E516" s="13"/>
      <c r="F516" s="13"/>
    </row>
    <row r="517" spans="1:6" ht="15.75" x14ac:dyDescent="0.25">
      <c r="A517" s="5"/>
      <c r="B517" s="5"/>
      <c r="C517" s="13"/>
      <c r="D517" s="13"/>
      <c r="E517" s="13"/>
      <c r="F517" s="13"/>
    </row>
    <row r="518" spans="1:6" ht="15.75" x14ac:dyDescent="0.25">
      <c r="A518" s="5"/>
      <c r="B518" s="5"/>
      <c r="C518" s="13"/>
      <c r="D518" s="13"/>
      <c r="E518" s="13"/>
      <c r="F518" s="13"/>
    </row>
    <row r="519" spans="1:6" ht="15.75" x14ac:dyDescent="0.25">
      <c r="A519" s="5"/>
      <c r="B519" s="5"/>
      <c r="C519" s="13"/>
      <c r="D519" s="13"/>
      <c r="E519" s="13"/>
      <c r="F519" s="13"/>
    </row>
    <row r="520" spans="1:6" ht="15.75" x14ac:dyDescent="0.25">
      <c r="A520" s="5"/>
      <c r="B520" s="5"/>
      <c r="C520" s="13"/>
      <c r="D520" s="13"/>
      <c r="E520" s="13"/>
      <c r="F520" s="13"/>
    </row>
    <row r="521" spans="1:6" ht="15.75" x14ac:dyDescent="0.25">
      <c r="A521" s="5"/>
      <c r="B521" s="5"/>
      <c r="C521" s="13"/>
      <c r="D521" s="13"/>
      <c r="E521" s="13"/>
      <c r="F521" s="13"/>
    </row>
    <row r="522" spans="1:6" ht="15.75" x14ac:dyDescent="0.25">
      <c r="A522" s="5"/>
      <c r="B522" s="5"/>
      <c r="C522" s="13"/>
      <c r="D522" s="13"/>
      <c r="E522" s="13"/>
      <c r="F522" s="13"/>
    </row>
    <row r="523" spans="1:6" ht="15.75" x14ac:dyDescent="0.25">
      <c r="A523" s="5"/>
      <c r="B523" s="5"/>
      <c r="C523" s="13"/>
      <c r="D523" s="13"/>
      <c r="E523" s="13"/>
      <c r="F523" s="13"/>
    </row>
    <row r="524" spans="1:6" ht="15.75" x14ac:dyDescent="0.25">
      <c r="A524" s="5"/>
      <c r="B524" s="5"/>
      <c r="C524" s="13"/>
      <c r="D524" s="13"/>
      <c r="E524" s="13"/>
      <c r="F524" s="13"/>
    </row>
    <row r="525" spans="1:6" ht="15.75" x14ac:dyDescent="0.25">
      <c r="A525" s="5"/>
      <c r="B525" s="5"/>
      <c r="C525" s="13"/>
      <c r="D525" s="13"/>
      <c r="E525" s="13"/>
      <c r="F525" s="13"/>
    </row>
    <row r="526" spans="1:6" ht="15.75" x14ac:dyDescent="0.25">
      <c r="A526" s="5"/>
      <c r="B526" s="5"/>
      <c r="C526" s="13"/>
      <c r="D526" s="13"/>
      <c r="E526" s="13"/>
      <c r="F526" s="13"/>
    </row>
    <row r="527" spans="1:6" ht="15.75" x14ac:dyDescent="0.25">
      <c r="A527" s="5"/>
      <c r="B527" s="5"/>
      <c r="C527" s="13"/>
      <c r="D527" s="13"/>
      <c r="E527" s="13"/>
      <c r="F527" s="13"/>
    </row>
    <row r="528" spans="1:6" ht="15.75" x14ac:dyDescent="0.25">
      <c r="A528" s="5"/>
      <c r="B528" s="5"/>
      <c r="C528" s="13"/>
      <c r="D528" s="13"/>
      <c r="E528" s="13"/>
      <c r="F528" s="13"/>
    </row>
    <row r="529" spans="1:6" ht="15.75" x14ac:dyDescent="0.25">
      <c r="A529" s="5"/>
      <c r="B529" s="5"/>
      <c r="C529" s="13"/>
      <c r="D529" s="13"/>
      <c r="E529" s="13"/>
      <c r="F529" s="13"/>
    </row>
    <row r="530" spans="1:6" ht="15.75" x14ac:dyDescent="0.25">
      <c r="A530" s="5"/>
      <c r="B530" s="5"/>
      <c r="C530" s="13"/>
      <c r="D530" s="13"/>
      <c r="E530" s="13"/>
      <c r="F530" s="13"/>
    </row>
    <row r="531" spans="1:6" ht="15.75" x14ac:dyDescent="0.25">
      <c r="A531" s="5"/>
      <c r="B531" s="5"/>
      <c r="C531" s="13"/>
      <c r="D531" s="13"/>
      <c r="E531" s="13"/>
      <c r="F531" s="13"/>
    </row>
    <row r="532" spans="1:6" ht="15.75" x14ac:dyDescent="0.25">
      <c r="A532" s="5"/>
      <c r="B532" s="5"/>
      <c r="C532" s="13"/>
      <c r="D532" s="13"/>
      <c r="E532" s="13"/>
      <c r="F532" s="13"/>
    </row>
    <row r="533" spans="1:6" ht="15.75" x14ac:dyDescent="0.25">
      <c r="A533" s="5"/>
      <c r="B533" s="5"/>
      <c r="C533" s="13"/>
      <c r="D533" s="13"/>
      <c r="E533" s="13"/>
      <c r="F533" s="13"/>
    </row>
    <row r="534" spans="1:6" ht="15.75" x14ac:dyDescent="0.25">
      <c r="A534" s="5"/>
      <c r="B534" s="5"/>
      <c r="C534" s="13"/>
      <c r="D534" s="13"/>
      <c r="E534" s="13"/>
      <c r="F534" s="13"/>
    </row>
    <row r="535" spans="1:6" ht="15.75" x14ac:dyDescent="0.25">
      <c r="A535" s="5"/>
      <c r="B535" s="5"/>
      <c r="C535" s="13"/>
      <c r="D535" s="13"/>
      <c r="E535" s="13"/>
      <c r="F535" s="13"/>
    </row>
    <row r="536" spans="1:6" ht="15.75" x14ac:dyDescent="0.25">
      <c r="A536" s="5"/>
      <c r="B536" s="5"/>
      <c r="C536" s="13"/>
      <c r="D536" s="13"/>
      <c r="E536" s="13"/>
      <c r="F536" s="13"/>
    </row>
    <row r="537" spans="1:6" ht="15.75" x14ac:dyDescent="0.25">
      <c r="A537" s="5"/>
      <c r="B537" s="5"/>
      <c r="C537" s="13"/>
      <c r="D537" s="13"/>
      <c r="E537" s="13"/>
      <c r="F537" s="13"/>
    </row>
    <row r="538" spans="1:6" ht="15.75" x14ac:dyDescent="0.25">
      <c r="A538" s="5"/>
      <c r="B538" s="5"/>
      <c r="C538" s="13"/>
      <c r="D538" s="13"/>
      <c r="E538" s="13"/>
      <c r="F538" s="13"/>
    </row>
    <row r="539" spans="1:6" ht="15.75" x14ac:dyDescent="0.25">
      <c r="A539" s="5"/>
      <c r="B539" s="5"/>
      <c r="C539" s="13"/>
      <c r="D539" s="13"/>
      <c r="E539" s="13"/>
      <c r="F539" s="13"/>
    </row>
    <row r="540" spans="1:6" ht="15.75" x14ac:dyDescent="0.25">
      <c r="A540" s="5"/>
      <c r="B540" s="5"/>
      <c r="C540" s="13"/>
      <c r="D540" s="13"/>
      <c r="E540" s="13"/>
      <c r="F540" s="13"/>
    </row>
    <row r="541" spans="1:6" ht="15.75" x14ac:dyDescent="0.25">
      <c r="A541" s="5"/>
      <c r="B541" s="5"/>
      <c r="C541" s="13"/>
      <c r="D541" s="13"/>
      <c r="E541" s="13"/>
      <c r="F541" s="13"/>
    </row>
    <row r="542" spans="1:6" ht="15.75" x14ac:dyDescent="0.25">
      <c r="A542" s="5"/>
      <c r="B542" s="5"/>
      <c r="C542" s="13"/>
      <c r="D542" s="13"/>
      <c r="E542" s="13"/>
      <c r="F542" s="13"/>
    </row>
    <row r="543" spans="1:6" ht="15.75" x14ac:dyDescent="0.25">
      <c r="A543" s="5"/>
      <c r="B543" s="5"/>
      <c r="C543" s="13"/>
      <c r="D543" s="13"/>
      <c r="E543" s="13"/>
      <c r="F543" s="13"/>
    </row>
    <row r="544" spans="1:6" ht="15.75" x14ac:dyDescent="0.25">
      <c r="A544" s="5"/>
      <c r="B544" s="5"/>
      <c r="C544" s="13"/>
      <c r="D544" s="13"/>
      <c r="E544" s="13"/>
      <c r="F544" s="13"/>
    </row>
  </sheetData>
  <autoFilter ref="B5:F25" xr:uid="{64F5ABAA-8D38-4E3D-AADC-78C7344CE7D1}"/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Budget</vt:lpstr>
      <vt:lpstr>NONREVENUE DEPTS</vt:lpstr>
      <vt:lpstr>REVENUE DEPTS</vt:lpstr>
      <vt:lpstr>FTES</vt:lpstr>
      <vt:lpstr>CAPEX</vt:lpstr>
      <vt:lpstr>CLINIC</vt:lpstr>
      <vt:lpstr>ER</vt:lpstr>
      <vt:lpstr>PT</vt:lpstr>
      <vt:lpstr>PHARMACY</vt:lpstr>
      <vt:lpstr>RT</vt:lpstr>
      <vt:lpstr>RAD</vt:lpstr>
      <vt:lpstr>LAB</vt:lpstr>
      <vt:lpstr>CENTRAL</vt:lpstr>
      <vt:lpstr>LTC</vt:lpstr>
      <vt:lpstr>ACUTESWINGOBS</vt:lpstr>
      <vt:lpstr>KINGSTON</vt:lpstr>
      <vt:lpstr>NURSE AD</vt:lpstr>
      <vt:lpstr>INFECTION</vt:lpstr>
      <vt:lpstr>BOARD</vt:lpstr>
      <vt:lpstr>QA</vt:lpstr>
      <vt:lpstr>FINANCE</vt:lpstr>
      <vt:lpstr>ADMIN</vt:lpstr>
      <vt:lpstr>HR</vt:lpstr>
      <vt:lpstr>BO</vt:lpstr>
      <vt:lpstr>IT</vt:lpstr>
      <vt:lpstr>JPSHC</vt:lpstr>
      <vt:lpstr>MAINT</vt:lpstr>
      <vt:lpstr>ACTIVITIES</vt:lpstr>
      <vt:lpstr>SOCIAL SERVICE</vt:lpstr>
      <vt:lpstr>LAUNDRY</vt:lpstr>
      <vt:lpstr>HSK</vt:lpstr>
      <vt:lpstr>DIETARY</vt:lpstr>
      <vt:lpstr>RAW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Zacharias</dc:creator>
  <cp:lastModifiedBy>Jessica Ceja</cp:lastModifiedBy>
  <cp:lastPrinted>2026-03-19T22:31:54Z</cp:lastPrinted>
  <dcterms:created xsi:type="dcterms:W3CDTF">2026-03-16T16:36:19Z</dcterms:created>
  <dcterms:modified xsi:type="dcterms:W3CDTF">2026-04-01T18:40:57Z</dcterms:modified>
</cp:coreProperties>
</file>